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Максим\Google Диск\Продукты\Оценка проектов\Reliable scrum (conference edition)\"/>
    </mc:Choice>
  </mc:AlternateContent>
  <bookViews>
    <workbookView xWindow="0" yWindow="0" windowWidth="10800" windowHeight="6180" activeTab="1"/>
  </bookViews>
  <sheets>
    <sheet name="BackLog" sheetId="1" r:id="rId1"/>
    <sheet name="Report" sheetId="6" r:id="rId2"/>
    <sheet name="Calcs" sheetId="5" r:id="rId3"/>
  </sheets>
  <definedNames>
    <definedName name="_xlnm._FilterDatabase" localSheetId="0" hidden="1">BackLog!$A$2:$E$2</definedName>
    <definedName name="AverageIn">Calcs!$C$4</definedName>
    <definedName name="AverageOut">Calcs!$C$3</definedName>
    <definedName name="Buffer">Report!$C$2</definedName>
    <definedName name="DevIn">Calcs!$D$4</definedName>
    <definedName name="DevOut">Calcs!$D$3</definedName>
    <definedName name="ExpectedDuration">Report!$C$1</definedName>
    <definedName name="LatestSprint">Calcs!$C$2</definedName>
    <definedName name="PreGameSize">Calcs!$C$1</definedName>
    <definedName name="WorkLeft">Calcs!$C$5</definedName>
  </definedNames>
  <calcPr calcId="152511"/>
</workbook>
</file>

<file path=xl/calcChain.xml><?xml version="1.0" encoding="utf-8"?>
<calcChain xmlns="http://schemas.openxmlformats.org/spreadsheetml/2006/main">
  <c r="P9" i="5" l="1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8" i="5"/>
  <c r="I2" i="5"/>
  <c r="N9" i="5" l="1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8" i="5"/>
  <c r="L8" i="5" l="1"/>
  <c r="F8" i="5" l="1"/>
  <c r="C1" i="5" l="1"/>
  <c r="E2" i="6" l="1"/>
  <c r="C2" i="5"/>
  <c r="D25" i="5" l="1"/>
  <c r="L25" i="5" s="1"/>
  <c r="D12" i="5"/>
  <c r="L12" i="5" s="1"/>
  <c r="A23" i="5"/>
  <c r="A20" i="5"/>
  <c r="D18" i="5"/>
  <c r="L18" i="5" s="1"/>
  <c r="E17" i="5"/>
  <c r="C20" i="5"/>
  <c r="F20" i="5" s="1"/>
  <c r="E20" i="5"/>
  <c r="D19" i="5"/>
  <c r="L19" i="5" s="1"/>
  <c r="C19" i="5"/>
  <c r="K19" i="5" s="1"/>
  <c r="C15" i="5"/>
  <c r="K15" i="5" s="1"/>
  <c r="D28" i="5"/>
  <c r="L28" i="5" s="1"/>
  <c r="D22" i="5"/>
  <c r="L22" i="5" s="1"/>
  <c r="A10" i="5"/>
  <c r="H10" i="5" s="1"/>
  <c r="E28" i="5"/>
  <c r="D23" i="5"/>
  <c r="L23" i="5" s="1"/>
  <c r="C13" i="5"/>
  <c r="K13" i="5" s="1"/>
  <c r="C22" i="5"/>
  <c r="F22" i="5" s="1"/>
  <c r="E21" i="5"/>
  <c r="D14" i="5"/>
  <c r="L14" i="5" s="1"/>
  <c r="E23" i="5"/>
  <c r="A27" i="5"/>
  <c r="E15" i="5"/>
  <c r="E16" i="5"/>
  <c r="E19" i="5"/>
  <c r="A15" i="5"/>
  <c r="A11" i="5"/>
  <c r="A12" i="5"/>
  <c r="C5" i="6"/>
  <c r="A16" i="5"/>
  <c r="D9" i="5"/>
  <c r="C16" i="5"/>
  <c r="C9" i="5"/>
  <c r="C11" i="5"/>
  <c r="C21" i="5"/>
  <c r="D16" i="5"/>
  <c r="L16" i="5" s="1"/>
  <c r="E27" i="5"/>
  <c r="C12" i="5"/>
  <c r="A21" i="5"/>
  <c r="E26" i="5"/>
  <c r="E22" i="5"/>
  <c r="D11" i="5"/>
  <c r="L11" i="5" s="1"/>
  <c r="D17" i="5"/>
  <c r="L17" i="5" s="1"/>
  <c r="D15" i="5"/>
  <c r="L15" i="5" s="1"/>
  <c r="D27" i="5"/>
  <c r="L27" i="5" s="1"/>
  <c r="D21" i="5"/>
  <c r="L21" i="5" s="1"/>
  <c r="A24" i="5"/>
  <c r="A22" i="5"/>
  <c r="C26" i="5"/>
  <c r="A8" i="5"/>
  <c r="C23" i="5"/>
  <c r="A26" i="5"/>
  <c r="A25" i="5"/>
  <c r="C14" i="5"/>
  <c r="C28" i="5"/>
  <c r="C17" i="5"/>
  <c r="A9" i="5"/>
  <c r="D20" i="5"/>
  <c r="L20" i="5" s="1"/>
  <c r="D24" i="5"/>
  <c r="L24" i="5" s="1"/>
  <c r="C8" i="5"/>
  <c r="E8" i="5" s="1"/>
  <c r="E18" i="5"/>
  <c r="E24" i="5"/>
  <c r="D10" i="5"/>
  <c r="L10" i="5" s="1"/>
  <c r="E25" i="5"/>
  <c r="D13" i="5"/>
  <c r="L13" i="5" s="1"/>
  <c r="A18" i="5"/>
  <c r="A28" i="5"/>
  <c r="C10" i="5"/>
  <c r="A13" i="5"/>
  <c r="C18" i="5"/>
  <c r="C24" i="5"/>
  <c r="A19" i="5"/>
  <c r="A17" i="5"/>
  <c r="A14" i="5"/>
  <c r="C25" i="5"/>
  <c r="C27" i="5"/>
  <c r="D26" i="5"/>
  <c r="L26" i="5" s="1"/>
  <c r="G10" i="5" l="1"/>
  <c r="O20" i="5"/>
  <c r="Q20" i="5" s="1"/>
  <c r="F15" i="5"/>
  <c r="O15" i="5" s="1"/>
  <c r="Q15" i="5" s="1"/>
  <c r="K20" i="5"/>
  <c r="O22" i="5"/>
  <c r="Q22" i="5" s="1"/>
  <c r="K22" i="5"/>
  <c r="F19" i="5"/>
  <c r="O19" i="5" s="1"/>
  <c r="Q19" i="5" s="1"/>
  <c r="O8" i="5"/>
  <c r="Q8" i="5" s="1"/>
  <c r="E9" i="5"/>
  <c r="F18" i="5"/>
  <c r="K18" i="5"/>
  <c r="K28" i="5"/>
  <c r="F28" i="5"/>
  <c r="O28" i="5" s="1"/>
  <c r="Q28" i="5" s="1"/>
  <c r="F23" i="5"/>
  <c r="K23" i="5"/>
  <c r="K27" i="5"/>
  <c r="F27" i="5"/>
  <c r="O27" i="5" s="1"/>
  <c r="Q27" i="5" s="1"/>
  <c r="K14" i="5"/>
  <c r="H8" i="5"/>
  <c r="G8" i="5"/>
  <c r="K12" i="5"/>
  <c r="K21" i="5"/>
  <c r="F21" i="5"/>
  <c r="O21" i="5" s="1"/>
  <c r="Q21" i="5" s="1"/>
  <c r="O23" i="5"/>
  <c r="Q23" i="5" s="1"/>
  <c r="F9" i="5"/>
  <c r="D3" i="5"/>
  <c r="K9" i="5"/>
  <c r="C3" i="5"/>
  <c r="G12" i="5"/>
  <c r="F25" i="5"/>
  <c r="O25" i="5" s="1"/>
  <c r="Q25" i="5" s="1"/>
  <c r="K25" i="5"/>
  <c r="F10" i="5"/>
  <c r="F11" i="5" s="1"/>
  <c r="F12" i="5" s="1"/>
  <c r="F13" i="5" s="1"/>
  <c r="F14" i="5" s="1"/>
  <c r="K10" i="5"/>
  <c r="O18" i="5"/>
  <c r="Q18" i="5" s="1"/>
  <c r="G9" i="5"/>
  <c r="H9" i="5"/>
  <c r="K26" i="5"/>
  <c r="F26" i="5"/>
  <c r="O26" i="5" s="1"/>
  <c r="Q26" i="5" s="1"/>
  <c r="F16" i="5"/>
  <c r="O16" i="5" s="1"/>
  <c r="Q16" i="5" s="1"/>
  <c r="K16" i="5"/>
  <c r="G11" i="5"/>
  <c r="H11" i="5"/>
  <c r="F24" i="5"/>
  <c r="O24" i="5" s="1"/>
  <c r="Q24" i="5" s="1"/>
  <c r="K24" i="5"/>
  <c r="C5" i="5"/>
  <c r="K8" i="5"/>
  <c r="K17" i="5"/>
  <c r="F17" i="5"/>
  <c r="O17" i="5" s="1"/>
  <c r="Q17" i="5" s="1"/>
  <c r="K11" i="5"/>
  <c r="L9" i="5"/>
  <c r="C4" i="5"/>
  <c r="D4" i="5"/>
  <c r="H14" i="5" s="1"/>
  <c r="G25" i="5" l="1"/>
  <c r="G13" i="5"/>
  <c r="H12" i="5"/>
  <c r="H13" i="5"/>
  <c r="I13" i="5" s="1"/>
  <c r="G14" i="5"/>
  <c r="I14" i="5" s="1"/>
  <c r="H21" i="5"/>
  <c r="H22" i="5"/>
  <c r="H15" i="5"/>
  <c r="H28" i="5"/>
  <c r="H17" i="5"/>
  <c r="G27" i="5"/>
  <c r="H25" i="5"/>
  <c r="I25" i="5" s="1"/>
  <c r="G21" i="5"/>
  <c r="G15" i="5"/>
  <c r="G22" i="5"/>
  <c r="I22" i="5" s="1"/>
  <c r="G28" i="5"/>
  <c r="G17" i="5"/>
  <c r="G16" i="5"/>
  <c r="H20" i="5"/>
  <c r="H23" i="5"/>
  <c r="H26" i="5"/>
  <c r="G18" i="5"/>
  <c r="H16" i="5"/>
  <c r="G19" i="5"/>
  <c r="H24" i="5"/>
  <c r="O9" i="5"/>
  <c r="Q9" i="5" s="1"/>
  <c r="E10" i="5"/>
  <c r="G26" i="5"/>
  <c r="I11" i="5"/>
  <c r="I8" i="5"/>
  <c r="E3" i="6"/>
  <c r="I9" i="5"/>
  <c r="C4" i="6"/>
  <c r="C3" i="6" s="1"/>
  <c r="I10" i="5"/>
  <c r="I12" i="5"/>
  <c r="H18" i="5"/>
  <c r="G20" i="5"/>
  <c r="G23" i="5"/>
  <c r="H19" i="5"/>
  <c r="H27" i="5"/>
  <c r="G24" i="5"/>
  <c r="I18" i="5" l="1"/>
  <c r="I21" i="5"/>
  <c r="J22" i="5" s="1"/>
  <c r="I16" i="5"/>
  <c r="I15" i="5"/>
  <c r="J15" i="5" s="1"/>
  <c r="I26" i="5"/>
  <c r="J26" i="5" s="1"/>
  <c r="I28" i="5"/>
  <c r="I27" i="5"/>
  <c r="I19" i="5"/>
  <c r="I23" i="5"/>
  <c r="I17" i="5"/>
  <c r="I24" i="5"/>
  <c r="J25" i="5" s="1"/>
  <c r="J11" i="5"/>
  <c r="I20" i="5"/>
  <c r="J8" i="5"/>
  <c r="J9" i="5"/>
  <c r="J13" i="5"/>
  <c r="O10" i="5"/>
  <c r="Q10" i="5" s="1"/>
  <c r="E11" i="5"/>
  <c r="J12" i="5"/>
  <c r="J14" i="5"/>
  <c r="J10" i="5"/>
  <c r="J17" i="5" l="1"/>
  <c r="J21" i="5"/>
  <c r="J19" i="5"/>
  <c r="C6" i="6"/>
  <c r="J16" i="5"/>
  <c r="J27" i="5"/>
  <c r="J28" i="5"/>
  <c r="J18" i="5"/>
  <c r="J20" i="5"/>
  <c r="J24" i="5"/>
  <c r="J23" i="5"/>
  <c r="O11" i="5"/>
  <c r="Q11" i="5" s="1"/>
  <c r="E12" i="5"/>
  <c r="O12" i="5" l="1"/>
  <c r="Q12" i="5" s="1"/>
  <c r="E13" i="5"/>
  <c r="O13" i="5" l="1"/>
  <c r="Q13" i="5" s="1"/>
  <c r="E14" i="5"/>
  <c r="O14" i="5" s="1"/>
  <c r="Q14" i="5" s="1"/>
</calcChain>
</file>

<file path=xl/sharedStrings.xml><?xml version="1.0" encoding="utf-8"?>
<sst xmlns="http://schemas.openxmlformats.org/spreadsheetml/2006/main" count="70" uniqueCount="66">
  <si>
    <t>Sprint</t>
  </si>
  <si>
    <t>Out(n)</t>
  </si>
  <si>
    <t>In(n)</t>
  </si>
  <si>
    <t>Pre-Game backlog:</t>
  </si>
  <si>
    <t>N</t>
  </si>
  <si>
    <t>Work Left</t>
  </si>
  <si>
    <t>Av. In</t>
  </si>
  <si>
    <t>Av. Out</t>
  </si>
  <si>
    <t>Mean</t>
  </si>
  <si>
    <t>Dev</t>
  </si>
  <si>
    <t>Prob</t>
  </si>
  <si>
    <t>Задача</t>
  </si>
  <si>
    <t>Оценка</t>
  </si>
  <si>
    <t>Комментарий</t>
  </si>
  <si>
    <t>В какой спринт пришла</t>
  </si>
  <si>
    <t>В какой спринт сделали</t>
  </si>
  <si>
    <t>Latest Sprint:</t>
  </si>
  <si>
    <t>Инструкция</t>
  </si>
  <si>
    <t>Задача 1</t>
  </si>
  <si>
    <t>Задача 2</t>
  </si>
  <si>
    <t>Задача 3</t>
  </si>
  <si>
    <t>Задача 4</t>
  </si>
  <si>
    <t>Задача 5</t>
  </si>
  <si>
    <t>Задача 6</t>
  </si>
  <si>
    <t>Задача 7</t>
  </si>
  <si>
    <t>Задача 8</t>
  </si>
  <si>
    <t>Задача 9</t>
  </si>
  <si>
    <t>Задача 10</t>
  </si>
  <si>
    <t>Задача 11</t>
  </si>
  <si>
    <t>Задача 12</t>
  </si>
  <si>
    <t>Задача 13</t>
  </si>
  <si>
    <t>Задача 14</t>
  </si>
  <si>
    <t>Задача 15</t>
  </si>
  <si>
    <t>cartmendum.ru</t>
  </si>
  <si>
    <t>Planned progress</t>
  </si>
  <si>
    <t>Progress</t>
  </si>
  <si>
    <t>спринтов</t>
  </si>
  <si>
    <t>Буфер:</t>
  </si>
  <si>
    <t>Шансы уложиться вовремя:</t>
  </si>
  <si>
    <t>Съедено буфера:</t>
  </si>
  <si>
    <t>Прогресс:</t>
  </si>
  <si>
    <t>Планируемый прогресс:</t>
  </si>
  <si>
    <t>Сделано работы</t>
  </si>
  <si>
    <t>Добавлено работы</t>
  </si>
  <si>
    <t>Дата с буфером</t>
  </si>
  <si>
    <t>Использование буфера</t>
  </si>
  <si>
    <t>Теоретический расход буфера</t>
  </si>
  <si>
    <t>Вероятность не опоздать</t>
  </si>
  <si>
    <t>сторипоинтов</t>
  </si>
  <si>
    <t>Нанопроцентная дата</t>
  </si>
  <si>
    <t>Задача 16</t>
  </si>
  <si>
    <t>Задача 17</t>
  </si>
  <si>
    <t>Задача 18</t>
  </si>
  <si>
    <t>Задача 19</t>
  </si>
  <si>
    <t>Задача 20</t>
  </si>
  <si>
    <t>Задача 21</t>
  </si>
  <si>
    <t>Задача 22</t>
  </si>
  <si>
    <t>Задача 23</t>
  </si>
  <si>
    <t>Задача 24</t>
  </si>
  <si>
    <t>Задача 25</t>
  </si>
  <si>
    <t>Задача 26</t>
  </si>
  <si>
    <t>Задача 27</t>
  </si>
  <si>
    <t>Задача 28</t>
  </si>
  <si>
    <t>Задача 29</t>
  </si>
  <si>
    <t>Задача 30</t>
  </si>
  <si>
    <t>50-процентная оценка: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</si>
</sst>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rgb="FFB54633"/>
      <name val="Calibri"/>
      <family val="2"/>
      <charset val="204"/>
    </font>
    <font>
      <u/>
      <sz val="11"/>
      <color theme="10"/>
      <name val="Calibri"/>
      <family val="2"/>
    </font>
    <font>
      <b/>
      <sz val="10"/>
      <color rgb="FFB54633"/>
      <name val="Calibri"/>
      <family val="2"/>
      <charset val="204"/>
    </font>
    <font>
      <u/>
      <sz val="14"/>
      <color theme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5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1" fontId="18" fillId="0" borderId="0" xfId="0" applyNumberFormat="1" applyFont="1"/>
    <xf numFmtId="9" fontId="0" fillId="0" borderId="0" xfId="0" applyNumberFormat="1"/>
    <xf numFmtId="0" fontId="19" fillId="24" borderId="0" xfId="0" applyFont="1" applyFill="1" applyAlignment="1">
      <alignment horizontal="center" wrapText="1"/>
    </xf>
    <xf numFmtId="0" fontId="21" fillId="24" borderId="0" xfId="0" applyFont="1" applyFill="1" applyAlignment="1">
      <alignment horizontal="center" wrapText="1"/>
    </xf>
    <xf numFmtId="1" fontId="21" fillId="24" borderId="0" xfId="0" applyNumberFormat="1" applyFont="1" applyFill="1" applyAlignment="1">
      <alignment horizontal="center" wrapText="1"/>
    </xf>
    <xf numFmtId="0" fontId="22" fillId="0" borderId="0" xfId="42" applyFont="1" applyAlignment="1">
      <alignment horizontal="center"/>
    </xf>
    <xf numFmtId="0" fontId="20" fillId="0" borderId="0" xfId="42"/>
    <xf numFmtId="2" fontId="0" fillId="0" borderId="0" xfId="0" applyNumberFormat="1"/>
    <xf numFmtId="9" fontId="19" fillId="24" borderId="0" xfId="0" applyNumberFormat="1" applyFont="1" applyFill="1" applyAlignment="1">
      <alignment horizontal="center" wrapText="1"/>
    </xf>
    <xf numFmtId="1" fontId="0" fillId="0" borderId="0" xfId="0" applyNumberFormat="1" applyBorder="1" applyAlignment="1">
      <alignment horizontal="right"/>
    </xf>
    <xf numFmtId="1" fontId="0" fillId="0" borderId="0" xfId="0" applyNumberFormat="1" applyBorder="1"/>
    <xf numFmtId="2" fontId="0" fillId="24" borderId="0" xfId="0" applyNumberFormat="1" applyFill="1" applyBorder="1"/>
    <xf numFmtId="9" fontId="0" fillId="24" borderId="0" xfId="0" applyNumberFormat="1" applyFill="1" applyBorder="1" applyAlignment="1">
      <alignment horizontal="right"/>
    </xf>
    <xf numFmtId="1" fontId="0" fillId="24" borderId="0" xfId="0" applyNumberFormat="1" applyFill="1" applyBorder="1"/>
    <xf numFmtId="2" fontId="0" fillId="0" borderId="0" xfId="0" applyNumberFormat="1" applyBorder="1"/>
    <xf numFmtId="0" fontId="0" fillId="0" borderId="0" xfId="0" applyBorder="1"/>
    <xf numFmtId="0" fontId="0" fillId="24" borderId="0" xfId="0" applyFill="1" applyBorder="1"/>
    <xf numFmtId="1" fontId="0" fillId="24" borderId="0" xfId="0" applyNumberFormat="1" applyFill="1" applyBorder="1" applyAlignment="1">
      <alignment horizontal="right"/>
    </xf>
    <xf numFmtId="9" fontId="0" fillId="24" borderId="0" xfId="0" applyNumberFormat="1" applyFill="1" applyBorder="1" applyAlignment="1">
      <alignment horizontal="left"/>
    </xf>
    <xf numFmtId="1" fontId="18" fillId="0" borderId="0" xfId="0" applyNumberFormat="1" applyFont="1" applyBorder="1" applyAlignment="1">
      <alignment horizontal="right"/>
    </xf>
    <xf numFmtId="1" fontId="18" fillId="24" borderId="0" xfId="0" applyNumberFormat="1" applyFont="1" applyFill="1" applyBorder="1" applyAlignment="1">
      <alignment horizontal="right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2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mruColors>
      <color rgb="FFD68236"/>
      <color rgb="FFF6E1DE"/>
      <color rgb="FFB54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>
                <a:solidFill>
                  <a:schemeClr val="tx1"/>
                </a:solidFill>
              </a:rPr>
              <a:t>Расширенная диаграмма выгорания работ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3"/>
          <c:tx>
            <c:strRef>
              <c:f>Calcs!$M$7</c:f>
              <c:strCache>
                <c:ptCount val="1"/>
                <c:pt idx="0">
                  <c:v>Нанопроцентная дата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Calcs!$M$8:$M$28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5"/>
          <c:order val="4"/>
          <c:tx>
            <c:strRef>
              <c:f>Calcs!$N$7</c:f>
              <c:strCache>
                <c:ptCount val="1"/>
                <c:pt idx="0">
                  <c:v>Дата с буфером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Calcs!$N$8:$N$28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601512712"/>
        <c:axId val="601512320"/>
      </c:barChart>
      <c:lineChart>
        <c:grouping val="standard"/>
        <c:varyColors val="0"/>
        <c:ser>
          <c:idx val="0"/>
          <c:order val="0"/>
          <c:tx>
            <c:strRef>
              <c:f>Calcs!$E$7</c:f>
              <c:strCache>
                <c:ptCount val="1"/>
                <c:pt idx="0">
                  <c:v>Сделано работы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Calcs!$B$8:$B$28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Calcs!$E$8:$E$28</c:f>
              <c:numCache>
                <c:formatCode>General</c:formatCode>
                <c:ptCount val="21"/>
                <c:pt idx="0">
                  <c:v>25</c:v>
                </c:pt>
                <c:pt idx="1">
                  <c:v>22</c:v>
                </c:pt>
                <c:pt idx="2">
                  <c:v>20</c:v>
                </c:pt>
                <c:pt idx="3">
                  <c:v>16</c:v>
                </c:pt>
                <c:pt idx="4">
                  <c:v>12</c:v>
                </c:pt>
                <c:pt idx="5">
                  <c:v>11</c:v>
                </c:pt>
                <c:pt idx="6">
                  <c:v>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Calcs!$F$7</c:f>
              <c:strCache>
                <c:ptCount val="1"/>
                <c:pt idx="0">
                  <c:v>Добавлено работы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Calcs!$B$8:$B$28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Calcs!$F$8:$F$28</c:f>
              <c:numCache>
                <c:formatCode>General</c:formatCode>
                <c:ptCount val="21"/>
                <c:pt idx="0">
                  <c:v>0</c:v>
                </c:pt>
                <c:pt idx="1">
                  <c:v>-1</c:v>
                </c:pt>
                <c:pt idx="2">
                  <c:v>-3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accent1"/>
              </a:solidFill>
              <a:ln w="19050">
                <a:solidFill>
                  <a:schemeClr val="tx1">
                    <a:lumMod val="65000"/>
                    <a:lumOff val="35000"/>
                  </a:schemeClr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downBars>
        </c:upDownBars>
        <c:marker val="1"/>
        <c:smooth val="0"/>
        <c:axId val="480074752"/>
        <c:axId val="480073576"/>
      </c:lineChart>
      <c:lineChart>
        <c:grouping val="standard"/>
        <c:varyColors val="0"/>
        <c:ser>
          <c:idx val="2"/>
          <c:order val="2"/>
          <c:tx>
            <c:strRef>
              <c:f>Calcs!$I$7</c:f>
              <c:strCache>
                <c:ptCount val="1"/>
                <c:pt idx="0">
                  <c:v>Вероятность не опоздать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Calcs!$B$8:$B$28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Calcs!$I$8:$I$28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3.1086244689504383E-15</c:v>
                </c:pt>
                <c:pt idx="8">
                  <c:v>1.4060774984336888E-6</c:v>
                </c:pt>
                <c:pt idx="9">
                  <c:v>8.2762541962178027E-4</c:v>
                </c:pt>
                <c:pt idx="10">
                  <c:v>1.6304318019792707E-2</c:v>
                </c:pt>
                <c:pt idx="11">
                  <c:v>8.2923302652701869E-2</c:v>
                </c:pt>
                <c:pt idx="12">
                  <c:v>0.21618695729471327</c:v>
                </c:pt>
                <c:pt idx="13">
                  <c:v>0.38871060694286608</c:v>
                </c:pt>
                <c:pt idx="14">
                  <c:v>0.56005137387381332</c:v>
                </c:pt>
                <c:pt idx="15">
                  <c:v>0.70340439678832678</c:v>
                </c:pt>
                <c:pt idx="16">
                  <c:v>0.81015254535092718</c:v>
                </c:pt>
                <c:pt idx="17">
                  <c:v>0.883357035626121</c:v>
                </c:pt>
                <c:pt idx="18">
                  <c:v>0.9306255884821697</c:v>
                </c:pt>
                <c:pt idx="19">
                  <c:v>0.95979824395437285</c:v>
                </c:pt>
                <c:pt idx="20">
                  <c:v>0.97718814463735781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512712"/>
        <c:axId val="601512320"/>
      </c:lineChart>
      <c:catAx>
        <c:axId val="480074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800" b="1">
                    <a:solidFill>
                      <a:schemeClr val="tx1"/>
                    </a:solidFill>
                  </a:rPr>
                  <a:t>Номер итерации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0073576"/>
        <c:crossesAt val="0"/>
        <c:auto val="1"/>
        <c:lblAlgn val="ctr"/>
        <c:lblOffset val="100"/>
        <c:noMultiLvlLbl val="0"/>
      </c:catAx>
      <c:valAx>
        <c:axId val="48007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800" b="1">
                    <a:solidFill>
                      <a:schemeClr val="tx1"/>
                    </a:solidFill>
                  </a:rPr>
                  <a:t>Объем работы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0074752"/>
        <c:crosses val="autoZero"/>
        <c:crossBetween val="between"/>
      </c:valAx>
      <c:valAx>
        <c:axId val="601512320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800" b="1">
                    <a:solidFill>
                      <a:schemeClr val="tx1"/>
                    </a:solidFill>
                  </a:rPr>
                  <a:t>Вероятность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1512712"/>
        <c:crosses val="max"/>
        <c:crossBetween val="between"/>
      </c:valAx>
      <c:catAx>
        <c:axId val="601512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1512320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Fever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Calcs!$O$9:$O$28</c:f>
              <c:numCache>
                <c:formatCode>0%</c:formatCode>
                <c:ptCount val="20"/>
                <c:pt idx="0">
                  <c:v>0.08</c:v>
                </c:pt>
                <c:pt idx="1">
                  <c:v>0.08</c:v>
                </c:pt>
                <c:pt idx="2">
                  <c:v>0.16</c:v>
                </c:pt>
                <c:pt idx="3">
                  <c:v>0.32</c:v>
                </c:pt>
                <c:pt idx="4">
                  <c:v>0.36</c:v>
                </c:pt>
                <c:pt idx="5">
                  <c:v>0.44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xVal>
          <c:yVal>
            <c:numRef>
              <c:f>Calcs!$Q$9:$Q$28</c:f>
              <c:numCache>
                <c:formatCode>0%</c:formatCode>
                <c:ptCount val="20"/>
                <c:pt idx="0">
                  <c:v>9.9999999999999811E-3</c:v>
                </c:pt>
                <c:pt idx="1">
                  <c:v>0.25999999999999995</c:v>
                </c:pt>
                <c:pt idx="2">
                  <c:v>0.27</c:v>
                </c:pt>
                <c:pt idx="3">
                  <c:v>3.9999999999999925E-2</c:v>
                </c:pt>
                <c:pt idx="4">
                  <c:v>0.1700000000000001</c:v>
                </c:pt>
                <c:pt idx="5">
                  <c:v>0.18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513104"/>
        <c:axId val="601509968"/>
      </c:scatterChart>
      <c:valAx>
        <c:axId val="6015131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1509968"/>
        <c:crosses val="autoZero"/>
        <c:crossBetween val="midCat"/>
      </c:valAx>
      <c:valAx>
        <c:axId val="6015099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151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7</xdr:row>
      <xdr:rowOff>44450</xdr:rowOff>
    </xdr:from>
    <xdr:to>
      <xdr:col>11</xdr:col>
      <xdr:colOff>59391</xdr:colOff>
      <xdr:row>32</xdr:row>
      <xdr:rowOff>95250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68489</xdr:colOff>
      <xdr:row>33</xdr:row>
      <xdr:rowOff>26306</xdr:rowOff>
    </xdr:from>
    <xdr:to>
      <xdr:col>11</xdr:col>
      <xdr:colOff>63500</xdr:colOff>
      <xdr:row>58</xdr:row>
      <xdr:rowOff>72571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709705</xdr:colOff>
      <xdr:row>36</xdr:row>
      <xdr:rowOff>128290</xdr:rowOff>
    </xdr:from>
    <xdr:to>
      <xdr:col>10</xdr:col>
      <xdr:colOff>343647</xdr:colOff>
      <xdr:row>47</xdr:row>
      <xdr:rowOff>109118</xdr:rowOff>
    </xdr:to>
    <xdr:sp macro="" textlink="">
      <xdr:nvSpPr>
        <xdr:cNvPr id="7" name="Полилиния 6"/>
        <xdr:cNvSpPr/>
      </xdr:nvSpPr>
      <xdr:spPr>
        <a:xfrm>
          <a:off x="844176" y="6851819"/>
          <a:ext cx="6051177" cy="2035240"/>
        </a:xfrm>
        <a:custGeom>
          <a:avLst/>
          <a:gdLst>
            <a:gd name="connsiteX0" fmla="*/ 0 w 7565457"/>
            <a:gd name="connsiteY0" fmla="*/ 105878 h 2127183"/>
            <a:gd name="connsiteX1" fmla="*/ 7555832 w 7565457"/>
            <a:gd name="connsiteY1" fmla="*/ 0 h 2127183"/>
            <a:gd name="connsiteX2" fmla="*/ 7565457 w 7565457"/>
            <a:gd name="connsiteY2" fmla="*/ 442762 h 2127183"/>
            <a:gd name="connsiteX3" fmla="*/ 19251 w 7565457"/>
            <a:gd name="connsiteY3" fmla="*/ 2127183 h 2127183"/>
            <a:gd name="connsiteX4" fmla="*/ 0 w 7565457"/>
            <a:gd name="connsiteY4" fmla="*/ 105878 h 2127183"/>
            <a:gd name="connsiteX0" fmla="*/ 0 w 7565457"/>
            <a:gd name="connsiteY0" fmla="*/ 105878 h 1366787"/>
            <a:gd name="connsiteX1" fmla="*/ 7555832 w 7565457"/>
            <a:gd name="connsiteY1" fmla="*/ 0 h 1366787"/>
            <a:gd name="connsiteX2" fmla="*/ 7565457 w 7565457"/>
            <a:gd name="connsiteY2" fmla="*/ 442762 h 1366787"/>
            <a:gd name="connsiteX3" fmla="*/ 9626 w 7565457"/>
            <a:gd name="connsiteY3" fmla="*/ 1366787 h 1366787"/>
            <a:gd name="connsiteX4" fmla="*/ 0 w 7565457"/>
            <a:gd name="connsiteY4" fmla="*/ 105878 h 1366787"/>
            <a:gd name="connsiteX0" fmla="*/ 0 w 7565457"/>
            <a:gd name="connsiteY0" fmla="*/ 105878 h 2136808"/>
            <a:gd name="connsiteX1" fmla="*/ 7555832 w 7565457"/>
            <a:gd name="connsiteY1" fmla="*/ 0 h 2136808"/>
            <a:gd name="connsiteX2" fmla="*/ 7565457 w 7565457"/>
            <a:gd name="connsiteY2" fmla="*/ 442762 h 2136808"/>
            <a:gd name="connsiteX3" fmla="*/ 28876 w 7565457"/>
            <a:gd name="connsiteY3" fmla="*/ 2136808 h 2136808"/>
            <a:gd name="connsiteX4" fmla="*/ 0 w 7565457"/>
            <a:gd name="connsiteY4" fmla="*/ 105878 h 2136808"/>
            <a:gd name="connsiteX0" fmla="*/ 0 w 7565457"/>
            <a:gd name="connsiteY0" fmla="*/ 105878 h 2156059"/>
            <a:gd name="connsiteX1" fmla="*/ 7555832 w 7565457"/>
            <a:gd name="connsiteY1" fmla="*/ 0 h 2156059"/>
            <a:gd name="connsiteX2" fmla="*/ 7565457 w 7565457"/>
            <a:gd name="connsiteY2" fmla="*/ 442762 h 2156059"/>
            <a:gd name="connsiteX3" fmla="*/ 28876 w 7565457"/>
            <a:gd name="connsiteY3" fmla="*/ 2156059 h 2156059"/>
            <a:gd name="connsiteX4" fmla="*/ 0 w 7565457"/>
            <a:gd name="connsiteY4" fmla="*/ 105878 h 2156059"/>
            <a:gd name="connsiteX0" fmla="*/ 0 w 7565457"/>
            <a:gd name="connsiteY0" fmla="*/ 0 h 2050181"/>
            <a:gd name="connsiteX1" fmla="*/ 7555832 w 7565457"/>
            <a:gd name="connsiteY1" fmla="*/ 6181 h 2050181"/>
            <a:gd name="connsiteX2" fmla="*/ 7565457 w 7565457"/>
            <a:gd name="connsiteY2" fmla="*/ 336884 h 2050181"/>
            <a:gd name="connsiteX3" fmla="*/ 28876 w 7565457"/>
            <a:gd name="connsiteY3" fmla="*/ 2050181 h 2050181"/>
            <a:gd name="connsiteX4" fmla="*/ 0 w 7565457"/>
            <a:gd name="connsiteY4" fmla="*/ 0 h 2050181"/>
            <a:gd name="connsiteX0" fmla="*/ 0 w 7565457"/>
            <a:gd name="connsiteY0" fmla="*/ 0 h 2035240"/>
            <a:gd name="connsiteX1" fmla="*/ 7555832 w 7565457"/>
            <a:gd name="connsiteY1" fmla="*/ 6181 h 2035240"/>
            <a:gd name="connsiteX2" fmla="*/ 7565457 w 7565457"/>
            <a:gd name="connsiteY2" fmla="*/ 336884 h 2035240"/>
            <a:gd name="connsiteX3" fmla="*/ 10970 w 7565457"/>
            <a:gd name="connsiteY3" fmla="*/ 2035240 h 2035240"/>
            <a:gd name="connsiteX4" fmla="*/ 0 w 7565457"/>
            <a:gd name="connsiteY4" fmla="*/ 0 h 20352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565457" h="2035240">
              <a:moveTo>
                <a:pt x="0" y="0"/>
              </a:moveTo>
              <a:lnTo>
                <a:pt x="7555832" y="6181"/>
              </a:lnTo>
              <a:lnTo>
                <a:pt x="7565457" y="336884"/>
              </a:lnTo>
              <a:lnTo>
                <a:pt x="10970" y="2035240"/>
              </a:lnTo>
              <a:cubicBezTo>
                <a:pt x="7761" y="1614937"/>
                <a:pt x="3209" y="420303"/>
                <a:pt x="0" y="0"/>
              </a:cubicBezTo>
              <a:close/>
            </a:path>
          </a:pathLst>
        </a:custGeom>
        <a:solidFill>
          <a:srgbClr val="FF0000">
            <a:alpha val="2509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1</xdr:col>
      <xdr:colOff>728850</xdr:colOff>
      <xdr:row>40</xdr:row>
      <xdr:rowOff>44823</xdr:rowOff>
    </xdr:from>
    <xdr:to>
      <xdr:col>10</xdr:col>
      <xdr:colOff>343647</xdr:colOff>
      <xdr:row>56</xdr:row>
      <xdr:rowOff>43695</xdr:rowOff>
    </xdr:to>
    <xdr:sp macro="" textlink="">
      <xdr:nvSpPr>
        <xdr:cNvPr id="8" name="Полилиния 7"/>
        <xdr:cNvSpPr/>
      </xdr:nvSpPr>
      <xdr:spPr>
        <a:xfrm>
          <a:off x="863321" y="7515411"/>
          <a:ext cx="6032032" cy="2987108"/>
        </a:xfrm>
        <a:custGeom>
          <a:avLst/>
          <a:gdLst>
            <a:gd name="connsiteX0" fmla="*/ 19251 w 7430703"/>
            <a:gd name="connsiteY0" fmla="*/ 3166712 h 3166712"/>
            <a:gd name="connsiteX1" fmla="*/ 0 w 7430703"/>
            <a:gd name="connsiteY1" fmla="*/ 2088682 h 3166712"/>
            <a:gd name="connsiteX2" fmla="*/ 7430703 w 7430703"/>
            <a:gd name="connsiteY2" fmla="*/ 0 h 3166712"/>
            <a:gd name="connsiteX3" fmla="*/ 7334451 w 7430703"/>
            <a:gd name="connsiteY3" fmla="*/ 3108960 h 3166712"/>
            <a:gd name="connsiteX4" fmla="*/ 19251 w 7430703"/>
            <a:gd name="connsiteY4" fmla="*/ 3166712 h 3166712"/>
            <a:gd name="connsiteX0" fmla="*/ 0 w 7411452"/>
            <a:gd name="connsiteY0" fmla="*/ 3166712 h 3166712"/>
            <a:gd name="connsiteX1" fmla="*/ 28875 w 7411452"/>
            <a:gd name="connsiteY1" fmla="*/ 2415941 h 3166712"/>
            <a:gd name="connsiteX2" fmla="*/ 7411452 w 7411452"/>
            <a:gd name="connsiteY2" fmla="*/ 0 h 3166712"/>
            <a:gd name="connsiteX3" fmla="*/ 7315200 w 7411452"/>
            <a:gd name="connsiteY3" fmla="*/ 3108960 h 3166712"/>
            <a:gd name="connsiteX4" fmla="*/ 0 w 7411452"/>
            <a:gd name="connsiteY4" fmla="*/ 3166712 h 3166712"/>
            <a:gd name="connsiteX0" fmla="*/ 0 w 7449954"/>
            <a:gd name="connsiteY0" fmla="*/ 2993458 h 2993458"/>
            <a:gd name="connsiteX1" fmla="*/ 28875 w 7449954"/>
            <a:gd name="connsiteY1" fmla="*/ 2242687 h 2993458"/>
            <a:gd name="connsiteX2" fmla="*/ 7449954 w 7449954"/>
            <a:gd name="connsiteY2" fmla="*/ 0 h 2993458"/>
            <a:gd name="connsiteX3" fmla="*/ 7315200 w 7449954"/>
            <a:gd name="connsiteY3" fmla="*/ 2935706 h 2993458"/>
            <a:gd name="connsiteX4" fmla="*/ 0 w 7449954"/>
            <a:gd name="connsiteY4" fmla="*/ 2993458 h 2993458"/>
            <a:gd name="connsiteX0" fmla="*/ 0 w 7465651"/>
            <a:gd name="connsiteY0" fmla="*/ 2993458 h 2993458"/>
            <a:gd name="connsiteX1" fmla="*/ 28875 w 7465651"/>
            <a:gd name="connsiteY1" fmla="*/ 2242687 h 2993458"/>
            <a:gd name="connsiteX2" fmla="*/ 7449954 w 7465651"/>
            <a:gd name="connsiteY2" fmla="*/ 0 h 2993458"/>
            <a:gd name="connsiteX3" fmla="*/ 7465651 w 7465651"/>
            <a:gd name="connsiteY3" fmla="*/ 2974346 h 2993458"/>
            <a:gd name="connsiteX4" fmla="*/ 0 w 7465651"/>
            <a:gd name="connsiteY4" fmla="*/ 2993458 h 2993458"/>
            <a:gd name="connsiteX0" fmla="*/ 0 w 7450606"/>
            <a:gd name="connsiteY0" fmla="*/ 2987018 h 2987018"/>
            <a:gd name="connsiteX1" fmla="*/ 13830 w 7450606"/>
            <a:gd name="connsiteY1" fmla="*/ 2242687 h 2987018"/>
            <a:gd name="connsiteX2" fmla="*/ 7434909 w 7450606"/>
            <a:gd name="connsiteY2" fmla="*/ 0 h 2987018"/>
            <a:gd name="connsiteX3" fmla="*/ 7450606 w 7450606"/>
            <a:gd name="connsiteY3" fmla="*/ 2974346 h 2987018"/>
            <a:gd name="connsiteX4" fmla="*/ 0 w 7450606"/>
            <a:gd name="connsiteY4" fmla="*/ 2987018 h 2987018"/>
            <a:gd name="connsiteX0" fmla="*/ 1215 w 7451821"/>
            <a:gd name="connsiteY0" fmla="*/ 2987018 h 2987018"/>
            <a:gd name="connsiteX1" fmla="*/ 0 w 7451821"/>
            <a:gd name="connsiteY1" fmla="*/ 2191167 h 2987018"/>
            <a:gd name="connsiteX2" fmla="*/ 7436124 w 7451821"/>
            <a:gd name="connsiteY2" fmla="*/ 0 h 2987018"/>
            <a:gd name="connsiteX3" fmla="*/ 7451821 w 7451821"/>
            <a:gd name="connsiteY3" fmla="*/ 2974346 h 2987018"/>
            <a:gd name="connsiteX4" fmla="*/ 1215 w 7451821"/>
            <a:gd name="connsiteY4" fmla="*/ 2987018 h 29870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451821" h="2987018">
              <a:moveTo>
                <a:pt x="1215" y="2987018"/>
              </a:moveTo>
              <a:lnTo>
                <a:pt x="0" y="2191167"/>
              </a:lnTo>
              <a:lnTo>
                <a:pt x="7436124" y="0"/>
              </a:lnTo>
              <a:cubicBezTo>
                <a:pt x="7441356" y="991449"/>
                <a:pt x="7446589" y="1982897"/>
                <a:pt x="7451821" y="2974346"/>
              </a:cubicBezTo>
              <a:lnTo>
                <a:pt x="1215" y="2987018"/>
              </a:lnTo>
              <a:close/>
            </a:path>
          </a:pathLst>
        </a:custGeom>
        <a:solidFill>
          <a:srgbClr val="00B050">
            <a:alpha val="25098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32"/>
  <sheetViews>
    <sheetView zoomScaleNormal="10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D31" sqref="D31"/>
    </sheetView>
  </sheetViews>
  <sheetFormatPr defaultRowHeight="14.25" x14ac:dyDescent="0.45"/>
  <cols>
    <col min="1" max="1" width="34.19921875" customWidth="1"/>
    <col min="2" max="2" width="14" bestFit="1" customWidth="1"/>
    <col min="3" max="4" width="16" style="3" customWidth="1"/>
    <col min="5" max="5" width="37.19921875" customWidth="1"/>
    <col min="6" max="6" width="10.19921875" customWidth="1"/>
    <col min="7" max="7" width="14.53125" customWidth="1"/>
    <col min="8" max="8" width="14" customWidth="1"/>
  </cols>
  <sheetData>
    <row r="1" spans="1:5" ht="18" x14ac:dyDescent="0.55000000000000004">
      <c r="A1" s="9" t="s">
        <v>17</v>
      </c>
      <c r="B1" s="10" t="s">
        <v>33</v>
      </c>
    </row>
    <row r="2" spans="1:5" s="2" customFormat="1" ht="26.65" x14ac:dyDescent="0.45">
      <c r="A2" s="7" t="s">
        <v>11</v>
      </c>
      <c r="B2" s="7" t="s">
        <v>12</v>
      </c>
      <c r="C2" s="8" t="s">
        <v>14</v>
      </c>
      <c r="D2" s="8" t="s">
        <v>15</v>
      </c>
      <c r="E2" s="7" t="s">
        <v>13</v>
      </c>
    </row>
    <row r="3" spans="1:5" x14ac:dyDescent="0.45">
      <c r="A3" t="s">
        <v>18</v>
      </c>
      <c r="B3">
        <v>1</v>
      </c>
      <c r="C3" s="3">
        <v>0</v>
      </c>
      <c r="D3" s="3">
        <v>1</v>
      </c>
    </row>
    <row r="4" spans="1:5" x14ac:dyDescent="0.45">
      <c r="A4" t="s">
        <v>19</v>
      </c>
      <c r="B4">
        <v>1</v>
      </c>
      <c r="C4" s="3">
        <v>0</v>
      </c>
      <c r="D4" s="3">
        <v>1</v>
      </c>
    </row>
    <row r="5" spans="1:5" x14ac:dyDescent="0.45">
      <c r="A5" t="s">
        <v>20</v>
      </c>
      <c r="B5">
        <v>1</v>
      </c>
      <c r="C5" s="3">
        <v>0</v>
      </c>
      <c r="D5" s="3">
        <v>1</v>
      </c>
    </row>
    <row r="6" spans="1:5" x14ac:dyDescent="0.45">
      <c r="A6" t="s">
        <v>21</v>
      </c>
      <c r="B6">
        <v>1</v>
      </c>
      <c r="C6" s="3">
        <v>1</v>
      </c>
      <c r="D6" s="3">
        <v>2</v>
      </c>
    </row>
    <row r="7" spans="1:5" x14ac:dyDescent="0.45">
      <c r="A7" t="s">
        <v>22</v>
      </c>
      <c r="B7">
        <v>1</v>
      </c>
      <c r="C7" s="3">
        <v>0</v>
      </c>
      <c r="D7" s="3">
        <v>2</v>
      </c>
    </row>
    <row r="8" spans="1:5" x14ac:dyDescent="0.45">
      <c r="A8" t="s">
        <v>23</v>
      </c>
      <c r="B8">
        <v>1</v>
      </c>
      <c r="C8" s="3">
        <v>2</v>
      </c>
      <c r="D8" s="3">
        <v>3</v>
      </c>
    </row>
    <row r="9" spans="1:5" x14ac:dyDescent="0.45">
      <c r="A9" t="s">
        <v>24</v>
      </c>
      <c r="B9">
        <v>1</v>
      </c>
      <c r="C9" s="3">
        <v>2</v>
      </c>
      <c r="D9" s="3">
        <v>3</v>
      </c>
    </row>
    <row r="10" spans="1:5" x14ac:dyDescent="0.45">
      <c r="A10" t="s">
        <v>25</v>
      </c>
      <c r="B10">
        <v>1</v>
      </c>
      <c r="C10" s="3">
        <v>0</v>
      </c>
      <c r="D10" s="3">
        <v>3</v>
      </c>
    </row>
    <row r="11" spans="1:5" x14ac:dyDescent="0.45">
      <c r="A11" t="s">
        <v>26</v>
      </c>
      <c r="B11">
        <v>1</v>
      </c>
      <c r="C11" s="3">
        <v>0</v>
      </c>
      <c r="D11" s="3">
        <v>3</v>
      </c>
    </row>
    <row r="12" spans="1:5" x14ac:dyDescent="0.45">
      <c r="A12" t="s">
        <v>27</v>
      </c>
      <c r="B12">
        <v>1</v>
      </c>
      <c r="C12" s="3">
        <v>3</v>
      </c>
      <c r="D12" s="3">
        <v>4</v>
      </c>
    </row>
    <row r="13" spans="1:5" x14ac:dyDescent="0.45">
      <c r="A13" t="s">
        <v>28</v>
      </c>
      <c r="B13">
        <v>1</v>
      </c>
      <c r="C13" s="3">
        <v>3</v>
      </c>
      <c r="D13" s="3">
        <v>4</v>
      </c>
    </row>
    <row r="14" spans="1:5" x14ac:dyDescent="0.45">
      <c r="A14" t="s">
        <v>29</v>
      </c>
      <c r="B14">
        <v>1</v>
      </c>
      <c r="C14" s="3">
        <v>0</v>
      </c>
      <c r="D14" s="3">
        <v>4</v>
      </c>
    </row>
    <row r="15" spans="1:5" x14ac:dyDescent="0.45">
      <c r="A15" t="s">
        <v>30</v>
      </c>
      <c r="B15">
        <v>1</v>
      </c>
      <c r="C15" s="3">
        <v>0</v>
      </c>
      <c r="D15" s="3">
        <v>4</v>
      </c>
    </row>
    <row r="16" spans="1:5" x14ac:dyDescent="0.45">
      <c r="A16" t="s">
        <v>31</v>
      </c>
      <c r="B16">
        <v>1</v>
      </c>
      <c r="C16" s="3">
        <v>0</v>
      </c>
      <c r="D16" s="3">
        <v>5</v>
      </c>
    </row>
    <row r="17" spans="1:4" x14ac:dyDescent="0.45">
      <c r="A17" t="s">
        <v>32</v>
      </c>
      <c r="B17">
        <v>1</v>
      </c>
      <c r="C17" s="3">
        <v>0</v>
      </c>
      <c r="D17" s="3">
        <v>6</v>
      </c>
    </row>
    <row r="18" spans="1:4" x14ac:dyDescent="0.45">
      <c r="A18" t="s">
        <v>50</v>
      </c>
      <c r="B18">
        <v>1</v>
      </c>
      <c r="C18" s="3">
        <v>0</v>
      </c>
      <c r="D18" s="3">
        <v>6</v>
      </c>
    </row>
    <row r="19" spans="1:4" x14ac:dyDescent="0.45">
      <c r="A19" t="s">
        <v>51</v>
      </c>
      <c r="B19">
        <v>1</v>
      </c>
      <c r="C19" s="3">
        <v>0</v>
      </c>
    </row>
    <row r="20" spans="1:4" x14ac:dyDescent="0.45">
      <c r="A20" t="s">
        <v>52</v>
      </c>
      <c r="B20">
        <v>1</v>
      </c>
      <c r="C20" s="3">
        <v>0</v>
      </c>
    </row>
    <row r="21" spans="1:4" x14ac:dyDescent="0.45">
      <c r="A21" t="s">
        <v>53</v>
      </c>
      <c r="B21">
        <v>1</v>
      </c>
      <c r="C21" s="3">
        <v>0</v>
      </c>
    </row>
    <row r="22" spans="1:4" x14ac:dyDescent="0.45">
      <c r="A22" t="s">
        <v>54</v>
      </c>
      <c r="B22">
        <v>1</v>
      </c>
      <c r="C22" s="3">
        <v>0</v>
      </c>
    </row>
    <row r="23" spans="1:4" x14ac:dyDescent="0.45">
      <c r="A23" t="s">
        <v>55</v>
      </c>
      <c r="B23">
        <v>1</v>
      </c>
      <c r="C23" s="3">
        <v>0</v>
      </c>
    </row>
    <row r="24" spans="1:4" x14ac:dyDescent="0.45">
      <c r="A24" t="s">
        <v>56</v>
      </c>
      <c r="B24">
        <v>1</v>
      </c>
      <c r="C24" s="3">
        <v>0</v>
      </c>
    </row>
    <row r="25" spans="1:4" x14ac:dyDescent="0.45">
      <c r="A25" t="s">
        <v>57</v>
      </c>
      <c r="B25">
        <v>1</v>
      </c>
      <c r="C25" s="3">
        <v>0</v>
      </c>
    </row>
    <row r="26" spans="1:4" x14ac:dyDescent="0.45">
      <c r="A26" t="s">
        <v>58</v>
      </c>
      <c r="B26">
        <v>1</v>
      </c>
      <c r="C26" s="3">
        <v>0</v>
      </c>
    </row>
    <row r="27" spans="1:4" x14ac:dyDescent="0.45">
      <c r="A27" t="s">
        <v>59</v>
      </c>
      <c r="B27">
        <v>1</v>
      </c>
      <c r="C27" s="3">
        <v>0</v>
      </c>
    </row>
    <row r="28" spans="1:4" x14ac:dyDescent="0.45">
      <c r="A28" t="s">
        <v>60</v>
      </c>
      <c r="B28">
        <v>1</v>
      </c>
      <c r="C28" s="3">
        <v>0</v>
      </c>
    </row>
    <row r="29" spans="1:4" x14ac:dyDescent="0.45">
      <c r="A29" t="s">
        <v>61</v>
      </c>
      <c r="B29">
        <v>1</v>
      </c>
      <c r="C29" s="3">
        <v>0</v>
      </c>
    </row>
    <row r="30" spans="1:4" x14ac:dyDescent="0.45">
      <c r="A30" t="s">
        <v>62</v>
      </c>
      <c r="B30">
        <v>1</v>
      </c>
      <c r="C30" s="3">
        <v>0</v>
      </c>
    </row>
    <row r="31" spans="1:4" x14ac:dyDescent="0.45">
      <c r="A31" t="s">
        <v>63</v>
      </c>
      <c r="B31">
        <v>1</v>
      </c>
      <c r="C31" s="3">
        <v>0</v>
      </c>
    </row>
    <row r="32" spans="1:4" x14ac:dyDescent="0.45">
      <c r="A32" t="s">
        <v>64</v>
      </c>
      <c r="B32">
        <v>1</v>
      </c>
      <c r="C32" s="3">
        <v>0</v>
      </c>
    </row>
  </sheetData>
  <autoFilter ref="A2:E2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F8"/>
  <sheetViews>
    <sheetView tabSelected="1" zoomScale="85" zoomScaleNormal="85" workbookViewId="0">
      <selection activeCell="C2" sqref="C2"/>
    </sheetView>
  </sheetViews>
  <sheetFormatPr defaultRowHeight="14.25" x14ac:dyDescent="0.45"/>
  <cols>
    <col min="1" max="1" width="1.9296875" customWidth="1"/>
    <col min="2" max="2" width="24.9296875" bestFit="1" customWidth="1"/>
    <col min="3" max="3" width="4.9296875" bestFit="1" customWidth="1"/>
    <col min="5" max="5" width="6.33203125" style="11" customWidth="1"/>
    <col min="6" max="6" width="13" bestFit="1" customWidth="1"/>
  </cols>
  <sheetData>
    <row r="1" spans="2:6" x14ac:dyDescent="0.45">
      <c r="B1" s="23" t="s">
        <v>65</v>
      </c>
      <c r="C1" s="13">
        <v>12</v>
      </c>
      <c r="D1" s="14" t="s">
        <v>36</v>
      </c>
      <c r="E1" s="18"/>
      <c r="F1" s="19"/>
    </row>
    <row r="2" spans="2:6" x14ac:dyDescent="0.45">
      <c r="B2" s="23" t="s">
        <v>37</v>
      </c>
      <c r="C2" s="13">
        <v>4</v>
      </c>
      <c r="D2" s="14" t="s">
        <v>36</v>
      </c>
      <c r="E2" s="15">
        <f>Buffer*PreGameSize/ExpectedDuration</f>
        <v>8.3333333333333339</v>
      </c>
      <c r="F2" s="20" t="s">
        <v>48</v>
      </c>
    </row>
    <row r="3" spans="2:6" x14ac:dyDescent="0.45">
      <c r="B3" s="24" t="s">
        <v>39</v>
      </c>
      <c r="C3" s="16">
        <f>(C5-C4)*ExpectedDuration/Buffer</f>
        <v>0.18000000000000016</v>
      </c>
      <c r="D3" s="17"/>
      <c r="E3" s="15">
        <f>WorkLeft-PreGameSize*(1-C5)</f>
        <v>1.5</v>
      </c>
      <c r="F3" s="20" t="s">
        <v>48</v>
      </c>
    </row>
    <row r="4" spans="2:6" x14ac:dyDescent="0.45">
      <c r="B4" s="24" t="s">
        <v>40</v>
      </c>
      <c r="C4" s="16">
        <f>1-WorkLeft/PreGameSize</f>
        <v>0.43999999999999995</v>
      </c>
      <c r="D4" s="15"/>
      <c r="E4" s="15"/>
      <c r="F4" s="20"/>
    </row>
    <row r="5" spans="2:6" x14ac:dyDescent="0.45">
      <c r="B5" s="24" t="s">
        <v>41</v>
      </c>
      <c r="C5" s="16">
        <f>IF(ExpectedDuration&gt;LatestSprint,LatestSprint/ExpectedDuration,1)</f>
        <v>0.5</v>
      </c>
      <c r="D5" s="17"/>
      <c r="E5" s="15"/>
      <c r="F5" s="20"/>
    </row>
    <row r="6" spans="2:6" x14ac:dyDescent="0.45">
      <c r="B6" s="24" t="s">
        <v>38</v>
      </c>
      <c r="C6" s="16">
        <f>VLOOKUP((C1+C2),Calcs!B8:I28,8)</f>
        <v>0.81015254535092718</v>
      </c>
      <c r="D6" s="17"/>
      <c r="E6" s="15"/>
      <c r="F6" s="20"/>
    </row>
    <row r="7" spans="2:6" x14ac:dyDescent="0.45">
      <c r="B7" s="21"/>
      <c r="C7" s="22"/>
      <c r="D7" s="17"/>
      <c r="E7" s="15"/>
      <c r="F7" s="20"/>
    </row>
    <row r="8" spans="2:6" x14ac:dyDescent="0.45">
      <c r="B8" s="19"/>
      <c r="C8" s="19"/>
      <c r="D8" s="19"/>
      <c r="E8" s="18"/>
      <c r="F8" s="19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28"/>
  <sheetViews>
    <sheetView topLeftCell="A8" workbookViewId="0">
      <selection activeCell="M4" sqref="M4"/>
    </sheetView>
  </sheetViews>
  <sheetFormatPr defaultRowHeight="14.25" x14ac:dyDescent="0.45"/>
  <cols>
    <col min="1" max="1" width="3" bestFit="1" customWidth="1"/>
    <col min="2" max="2" width="17.796875" bestFit="1" customWidth="1"/>
    <col min="3" max="3" width="10.19921875" bestFit="1" customWidth="1"/>
    <col min="4" max="4" width="6.796875" bestFit="1" customWidth="1"/>
    <col min="5" max="5" width="16.53125" customWidth="1"/>
    <col min="6" max="6" width="11" bestFit="1" customWidth="1"/>
    <col min="7" max="7" width="11.796875" bestFit="1" customWidth="1"/>
    <col min="15" max="17" width="8.73046875" style="5"/>
    <col min="18" max="18" width="16.265625" style="5" customWidth="1"/>
  </cols>
  <sheetData>
    <row r="1" spans="1:18" x14ac:dyDescent="0.45">
      <c r="B1" s="1" t="s">
        <v>3</v>
      </c>
      <c r="C1" s="1">
        <f>SUMIF(BackLog!C:C,0,BackLog!B:B)</f>
        <v>25</v>
      </c>
    </row>
    <row r="2" spans="1:18" x14ac:dyDescent="0.45">
      <c r="B2" s="1" t="s">
        <v>16</v>
      </c>
      <c r="C2" s="4">
        <f>MAX(BackLog!D:D)</f>
        <v>6</v>
      </c>
      <c r="H2">
        <v>35</v>
      </c>
      <c r="I2">
        <f>0.25*150</f>
        <v>37.5</v>
      </c>
    </row>
    <row r="3" spans="1:18" x14ac:dyDescent="0.45">
      <c r="B3" t="s">
        <v>7</v>
      </c>
      <c r="C3">
        <f>AVERAGE(C9:C28)</f>
        <v>2.6666666666666665</v>
      </c>
      <c r="D3">
        <f>STDEV(C9:C28)</f>
        <v>1.211060141638997</v>
      </c>
    </row>
    <row r="4" spans="1:18" x14ac:dyDescent="0.45">
      <c r="B4" t="s">
        <v>6</v>
      </c>
      <c r="C4">
        <f>AVERAGE(D9:D28)</f>
        <v>0.83333333333333337</v>
      </c>
      <c r="D4">
        <f>STDEV(D9:D28)</f>
        <v>0.98319208025017502</v>
      </c>
    </row>
    <row r="5" spans="1:18" x14ac:dyDescent="0.45">
      <c r="B5" t="s">
        <v>5</v>
      </c>
      <c r="C5">
        <f>PreGameSize-SUM(C8:C28)+SUM(D8:D28)</f>
        <v>14</v>
      </c>
    </row>
    <row r="7" spans="1:18" ht="42.75" x14ac:dyDescent="0.45">
      <c r="A7" s="6" t="s">
        <v>4</v>
      </c>
      <c r="B7" s="6" t="s">
        <v>0</v>
      </c>
      <c r="C7" s="6" t="s">
        <v>1</v>
      </c>
      <c r="D7" s="6" t="s">
        <v>2</v>
      </c>
      <c r="E7" s="6" t="s">
        <v>42</v>
      </c>
      <c r="F7" s="6" t="s">
        <v>43</v>
      </c>
      <c r="G7" s="6" t="s">
        <v>8</v>
      </c>
      <c r="H7" s="6" t="s">
        <v>9</v>
      </c>
      <c r="I7" s="6" t="s">
        <v>47</v>
      </c>
      <c r="J7" s="6" t="s">
        <v>10</v>
      </c>
      <c r="K7" s="6" t="s">
        <v>1</v>
      </c>
      <c r="L7" s="6" t="s">
        <v>2</v>
      </c>
      <c r="M7" s="6" t="s">
        <v>49</v>
      </c>
      <c r="N7" s="6" t="s">
        <v>44</v>
      </c>
      <c r="O7" s="12" t="s">
        <v>35</v>
      </c>
      <c r="P7" s="12" t="s">
        <v>34</v>
      </c>
      <c r="Q7" s="12" t="s">
        <v>45</v>
      </c>
      <c r="R7" s="12" t="s">
        <v>46</v>
      </c>
    </row>
    <row r="8" spans="1:18" x14ac:dyDescent="0.45">
      <c r="A8">
        <f t="shared" ref="A8:A26" si="0">B8-LatestSprint</f>
        <v>-6</v>
      </c>
      <c r="B8">
        <v>0</v>
      </c>
      <c r="C8">
        <f>IF(B8&lt;=LatestSprint,SUMIF(BackLog!D:D,B8,BackLog!B:B),"")</f>
        <v>0</v>
      </c>
      <c r="D8">
        <v>0</v>
      </c>
      <c r="E8">
        <f>IF(B8&lt;=LatestSprint,PreGameSize-C8,NA())</f>
        <v>25</v>
      </c>
      <c r="F8">
        <f>-D8</f>
        <v>0</v>
      </c>
      <c r="G8">
        <f t="shared" ref="G8:G26" si="1">IF(A8&gt;0,A8*(AverageOut-AverageIn),0)</f>
        <v>0</v>
      </c>
      <c r="H8">
        <f t="shared" ref="H8:H28" si="2">IF(A8&gt;0,SQRT(A8)*SQRT(DevIn*DevIn + DevOut*DevOut)+0.0000001,0.0001)</f>
        <v>1E-4</v>
      </c>
      <c r="I8" s="5">
        <f t="shared" ref="I8:I26" si="3">1-NORMDIST(WorkLeft,G8,H8,TRUE)</f>
        <v>0</v>
      </c>
      <c r="J8" s="5">
        <f>I8</f>
        <v>0</v>
      </c>
      <c r="K8">
        <f>IF(C8="",NA(),C8)</f>
        <v>0</v>
      </c>
      <c r="L8">
        <f>IF(D8="",NA(),D8)</f>
        <v>0</v>
      </c>
      <c r="M8">
        <f>IF(B8=Report!C$1,1,0)</f>
        <v>0</v>
      </c>
      <c r="N8">
        <f>IF(B8=(Report!C$1+Report!C$2),1,0)</f>
        <v>0</v>
      </c>
      <c r="O8" s="5">
        <f t="shared" ref="O8:O28" si="4">(PreGameSize-E8+F8)/PreGameSize</f>
        <v>0</v>
      </c>
      <c r="P8" s="5">
        <f t="shared" ref="P8:P28" si="5">IF(ExpectedDuration&gt;=B8,B8/ExpectedDuration,NA())</f>
        <v>0</v>
      </c>
      <c r="Q8" s="5">
        <f t="shared" ref="Q8:Q28" si="6">(P8-O8)*ExpectedDuration/Buffer</f>
        <v>0</v>
      </c>
      <c r="R8" s="5">
        <f>IF(ExpectedDuration+Buffer&gt;=Calcs!B8,Calcs!B8/(ExpectedDuration+Buffer),NA())</f>
        <v>0</v>
      </c>
    </row>
    <row r="9" spans="1:18" x14ac:dyDescent="0.45">
      <c r="A9">
        <f t="shared" si="0"/>
        <v>-5</v>
      </c>
      <c r="B9">
        <v>1</v>
      </c>
      <c r="C9">
        <f>IF(B9&lt;=LatestSprint,SUMIF(BackLog!D:D,B9,BackLog!B:B),"")</f>
        <v>3</v>
      </c>
      <c r="D9">
        <f>IF(B9&lt;=LatestSprint,SUMIF(BackLog!C:C,B9,BackLog!B:B),"")</f>
        <v>1</v>
      </c>
      <c r="E9">
        <f t="shared" ref="E9:E26" si="7">IF(B9&lt;=LatestSprint,E8-C9,NA())</f>
        <v>22</v>
      </c>
      <c r="F9">
        <f>IF(C9&lt;&gt;"",-D9+F8,NA())</f>
        <v>-1</v>
      </c>
      <c r="G9">
        <f t="shared" si="1"/>
        <v>0</v>
      </c>
      <c r="H9">
        <f t="shared" si="2"/>
        <v>1E-4</v>
      </c>
      <c r="I9" s="5">
        <f t="shared" si="3"/>
        <v>0</v>
      </c>
      <c r="J9" s="5">
        <f>IF(I8,I9-I8,I9)</f>
        <v>0</v>
      </c>
      <c r="K9">
        <f t="shared" ref="K9:K26" si="8">IF(C9="",NA(),C9)</f>
        <v>3</v>
      </c>
      <c r="L9">
        <f t="shared" ref="L9:L26" si="9">IF(D9="",NA(),D9)</f>
        <v>1</v>
      </c>
      <c r="M9">
        <f>IF(B9=Report!C$1,1,0)</f>
        <v>0</v>
      </c>
      <c r="N9">
        <f>IF(B9=(Report!C$1+Report!C$2),1,0)</f>
        <v>0</v>
      </c>
      <c r="O9" s="5">
        <f t="shared" si="4"/>
        <v>0.08</v>
      </c>
      <c r="P9" s="5">
        <f t="shared" si="5"/>
        <v>8.3333333333333329E-2</v>
      </c>
      <c r="Q9" s="5">
        <f t="shared" si="6"/>
        <v>9.9999999999999811E-3</v>
      </c>
      <c r="R9" s="5">
        <f>IF(ExpectedDuration+Buffer&gt;=Calcs!B9,Calcs!B9/(ExpectedDuration+Buffer),NA())</f>
        <v>6.25E-2</v>
      </c>
    </row>
    <row r="10" spans="1:18" x14ac:dyDescent="0.45">
      <c r="A10">
        <f t="shared" si="0"/>
        <v>-4</v>
      </c>
      <c r="B10">
        <v>2</v>
      </c>
      <c r="C10">
        <f>IF(B10&lt;=LatestSprint,SUMIF(BackLog!D:D,B10,BackLog!B:B),"")</f>
        <v>2</v>
      </c>
      <c r="D10">
        <f>IF(B10&lt;=LatestSprint,SUMIF(BackLog!C:C,B10,BackLog!B:B),"")</f>
        <v>2</v>
      </c>
      <c r="E10">
        <f t="shared" si="7"/>
        <v>20</v>
      </c>
      <c r="F10">
        <f t="shared" ref="F10:F26" si="10">IF(C10&lt;&gt;"",-D10+F9,NA())</f>
        <v>-3</v>
      </c>
      <c r="G10">
        <f t="shared" si="1"/>
        <v>0</v>
      </c>
      <c r="H10">
        <f t="shared" si="2"/>
        <v>1E-4</v>
      </c>
      <c r="I10" s="5">
        <f t="shared" si="3"/>
        <v>0</v>
      </c>
      <c r="J10" s="5">
        <f t="shared" ref="J10:J23" si="11">IF(I9,I10-I9,I10)</f>
        <v>0</v>
      </c>
      <c r="K10">
        <f t="shared" si="8"/>
        <v>2</v>
      </c>
      <c r="L10">
        <f t="shared" si="9"/>
        <v>2</v>
      </c>
      <c r="M10">
        <f>IF(B10=Report!C$1,1,0)</f>
        <v>0</v>
      </c>
      <c r="N10">
        <f>IF(B10=(Report!C$1+Report!C$2),1,0)</f>
        <v>0</v>
      </c>
      <c r="O10" s="5">
        <f t="shared" si="4"/>
        <v>0.08</v>
      </c>
      <c r="P10" s="5">
        <f t="shared" si="5"/>
        <v>0.16666666666666666</v>
      </c>
      <c r="Q10" s="5">
        <f t="shared" si="6"/>
        <v>0.25999999999999995</v>
      </c>
      <c r="R10" s="5">
        <f>IF(ExpectedDuration+Buffer&gt;=Calcs!B10,Calcs!B10/(ExpectedDuration+Buffer),NA())</f>
        <v>0.125</v>
      </c>
    </row>
    <row r="11" spans="1:18" x14ac:dyDescent="0.45">
      <c r="A11">
        <f t="shared" si="0"/>
        <v>-3</v>
      </c>
      <c r="B11">
        <v>3</v>
      </c>
      <c r="C11">
        <f>IF(B11&lt;=LatestSprint,SUMIF(BackLog!D:D,B11,BackLog!B:B),"")</f>
        <v>4</v>
      </c>
      <c r="D11">
        <f>IF(B11&lt;=LatestSprint,SUMIF(BackLog!C:C,B11,BackLog!B:B),"")</f>
        <v>2</v>
      </c>
      <c r="E11">
        <f t="shared" si="7"/>
        <v>16</v>
      </c>
      <c r="F11">
        <f t="shared" si="10"/>
        <v>-5</v>
      </c>
      <c r="G11">
        <f t="shared" si="1"/>
        <v>0</v>
      </c>
      <c r="H11">
        <f t="shared" si="2"/>
        <v>1E-4</v>
      </c>
      <c r="I11" s="5">
        <f t="shared" si="3"/>
        <v>0</v>
      </c>
      <c r="J11" s="5">
        <f t="shared" si="11"/>
        <v>0</v>
      </c>
      <c r="K11">
        <f t="shared" si="8"/>
        <v>4</v>
      </c>
      <c r="L11">
        <f t="shared" si="9"/>
        <v>2</v>
      </c>
      <c r="M11">
        <f>IF(B11=Report!C$1,1,0)</f>
        <v>0</v>
      </c>
      <c r="N11">
        <f>IF(B11=(Report!C$1+Report!C$2),1,0)</f>
        <v>0</v>
      </c>
      <c r="O11" s="5">
        <f t="shared" si="4"/>
        <v>0.16</v>
      </c>
      <c r="P11" s="5">
        <f t="shared" si="5"/>
        <v>0.25</v>
      </c>
      <c r="Q11" s="5">
        <f t="shared" si="6"/>
        <v>0.27</v>
      </c>
      <c r="R11" s="5">
        <f>IF(ExpectedDuration+Buffer&gt;=Calcs!B11,Calcs!B11/(ExpectedDuration+Buffer),NA())</f>
        <v>0.1875</v>
      </c>
    </row>
    <row r="12" spans="1:18" x14ac:dyDescent="0.45">
      <c r="A12">
        <f t="shared" si="0"/>
        <v>-2</v>
      </c>
      <c r="B12">
        <v>4</v>
      </c>
      <c r="C12">
        <f>IF(B12&lt;=LatestSprint,SUMIF(BackLog!D:D,B12,BackLog!B:B),"")</f>
        <v>4</v>
      </c>
      <c r="D12">
        <f>IF(B12&lt;=LatestSprint,SUMIF(BackLog!C:C,B12,BackLog!B:B),"")</f>
        <v>0</v>
      </c>
      <c r="E12">
        <f t="shared" si="7"/>
        <v>12</v>
      </c>
      <c r="F12">
        <f t="shared" si="10"/>
        <v>-5</v>
      </c>
      <c r="G12">
        <f t="shared" si="1"/>
        <v>0</v>
      </c>
      <c r="H12">
        <f t="shared" si="2"/>
        <v>1E-4</v>
      </c>
      <c r="I12" s="5">
        <f t="shared" si="3"/>
        <v>0</v>
      </c>
      <c r="J12" s="5">
        <f t="shared" si="11"/>
        <v>0</v>
      </c>
      <c r="K12">
        <f t="shared" si="8"/>
        <v>4</v>
      </c>
      <c r="L12">
        <f t="shared" si="9"/>
        <v>0</v>
      </c>
      <c r="M12">
        <f>IF(B12=Report!C$1,1,0)</f>
        <v>0</v>
      </c>
      <c r="N12">
        <f>IF(B12=(Report!C$1+Report!C$2),1,0)</f>
        <v>0</v>
      </c>
      <c r="O12" s="5">
        <f t="shared" si="4"/>
        <v>0.32</v>
      </c>
      <c r="P12" s="5">
        <f t="shared" si="5"/>
        <v>0.33333333333333331</v>
      </c>
      <c r="Q12" s="5">
        <f t="shared" si="6"/>
        <v>3.9999999999999925E-2</v>
      </c>
      <c r="R12" s="5">
        <f>IF(ExpectedDuration+Buffer&gt;=Calcs!B12,Calcs!B12/(ExpectedDuration+Buffer),NA())</f>
        <v>0.25</v>
      </c>
    </row>
    <row r="13" spans="1:18" x14ac:dyDescent="0.45">
      <c r="A13">
        <f t="shared" si="0"/>
        <v>-1</v>
      </c>
      <c r="B13">
        <v>5</v>
      </c>
      <c r="C13">
        <f>IF(B13&lt;=LatestSprint,SUMIF(BackLog!D:D,B13,BackLog!B:B),"")</f>
        <v>1</v>
      </c>
      <c r="D13">
        <f>IF(B13&lt;=LatestSprint,SUMIF(BackLog!C:C,B13,BackLog!B:B),"")</f>
        <v>0</v>
      </c>
      <c r="E13">
        <f t="shared" si="7"/>
        <v>11</v>
      </c>
      <c r="F13">
        <f t="shared" si="10"/>
        <v>-5</v>
      </c>
      <c r="G13">
        <f t="shared" si="1"/>
        <v>0</v>
      </c>
      <c r="H13">
        <f t="shared" si="2"/>
        <v>1E-4</v>
      </c>
      <c r="I13" s="5">
        <f t="shared" si="3"/>
        <v>0</v>
      </c>
      <c r="J13" s="5">
        <f t="shared" si="11"/>
        <v>0</v>
      </c>
      <c r="K13">
        <f t="shared" si="8"/>
        <v>1</v>
      </c>
      <c r="L13">
        <f t="shared" si="9"/>
        <v>0</v>
      </c>
      <c r="M13">
        <f>IF(B13=Report!C$1,1,0)</f>
        <v>0</v>
      </c>
      <c r="N13">
        <f>IF(B13=(Report!C$1+Report!C$2),1,0)</f>
        <v>0</v>
      </c>
      <c r="O13" s="5">
        <f t="shared" si="4"/>
        <v>0.36</v>
      </c>
      <c r="P13" s="5">
        <f t="shared" si="5"/>
        <v>0.41666666666666669</v>
      </c>
      <c r="Q13" s="5">
        <f t="shared" si="6"/>
        <v>0.1700000000000001</v>
      </c>
      <c r="R13" s="5">
        <f>IF(ExpectedDuration+Buffer&gt;=Calcs!B13,Calcs!B13/(ExpectedDuration+Buffer),NA())</f>
        <v>0.3125</v>
      </c>
    </row>
    <row r="14" spans="1:18" x14ac:dyDescent="0.45">
      <c r="A14">
        <f t="shared" si="0"/>
        <v>0</v>
      </c>
      <c r="B14">
        <v>6</v>
      </c>
      <c r="C14">
        <f>IF(B14&lt;=LatestSprint,SUMIF(BackLog!D:D,B14,BackLog!B:B),"")</f>
        <v>2</v>
      </c>
      <c r="D14">
        <f>IF(B14&lt;=LatestSprint,SUMIF(BackLog!C:C,B14,BackLog!B:B),"")</f>
        <v>0</v>
      </c>
      <c r="E14">
        <f t="shared" si="7"/>
        <v>9</v>
      </c>
      <c r="F14">
        <f t="shared" si="10"/>
        <v>-5</v>
      </c>
      <c r="G14">
        <f t="shared" si="1"/>
        <v>0</v>
      </c>
      <c r="H14">
        <f t="shared" si="2"/>
        <v>1E-4</v>
      </c>
      <c r="I14" s="5">
        <f t="shared" si="3"/>
        <v>0</v>
      </c>
      <c r="J14" s="5">
        <f t="shared" si="11"/>
        <v>0</v>
      </c>
      <c r="K14">
        <f t="shared" si="8"/>
        <v>2</v>
      </c>
      <c r="L14">
        <f t="shared" si="9"/>
        <v>0</v>
      </c>
      <c r="M14">
        <f>IF(B14=Report!C$1,1,0)</f>
        <v>0</v>
      </c>
      <c r="N14">
        <f>IF(B14=(Report!C$1+Report!C$2),1,0)</f>
        <v>0</v>
      </c>
      <c r="O14" s="5">
        <f t="shared" si="4"/>
        <v>0.44</v>
      </c>
      <c r="P14" s="5">
        <f t="shared" si="5"/>
        <v>0.5</v>
      </c>
      <c r="Q14" s="5">
        <f t="shared" si="6"/>
        <v>0.18</v>
      </c>
      <c r="R14" s="5">
        <f>IF(ExpectedDuration+Buffer&gt;=Calcs!B14,Calcs!B14/(ExpectedDuration+Buffer),NA())</f>
        <v>0.375</v>
      </c>
    </row>
    <row r="15" spans="1:18" x14ac:dyDescent="0.45">
      <c r="A15">
        <f t="shared" si="0"/>
        <v>1</v>
      </c>
      <c r="B15">
        <v>7</v>
      </c>
      <c r="C15" t="str">
        <f>IF(B15&lt;=LatestSprint,SUMIF(BackLog!D:D,B15,BackLog!B:B),"")</f>
        <v/>
      </c>
      <c r="D15" t="str">
        <f>IF(B15&lt;=LatestSprint,SUMIF(BackLog!C:C,B15,BackLog!B:B),"")</f>
        <v/>
      </c>
      <c r="E15" t="e">
        <f t="shared" si="7"/>
        <v>#N/A</v>
      </c>
      <c r="F15" t="e">
        <f t="shared" si="10"/>
        <v>#N/A</v>
      </c>
      <c r="G15">
        <f t="shared" si="1"/>
        <v>1.833333333333333</v>
      </c>
      <c r="H15">
        <f t="shared" si="2"/>
        <v>1.5599146275730122</v>
      </c>
      <c r="I15" s="5">
        <f t="shared" si="3"/>
        <v>3.1086244689504383E-15</v>
      </c>
      <c r="J15" s="5">
        <f t="shared" si="11"/>
        <v>3.1086244689504383E-15</v>
      </c>
      <c r="K15" t="e">
        <f t="shared" si="8"/>
        <v>#N/A</v>
      </c>
      <c r="L15" t="e">
        <f t="shared" si="9"/>
        <v>#N/A</v>
      </c>
      <c r="M15">
        <f>IF(B15=Report!C$1,1,0)</f>
        <v>0</v>
      </c>
      <c r="N15">
        <f>IF(B15=(Report!C$1+Report!C$2),1,0)</f>
        <v>0</v>
      </c>
      <c r="O15" s="5" t="e">
        <f t="shared" si="4"/>
        <v>#N/A</v>
      </c>
      <c r="P15" s="5">
        <f t="shared" si="5"/>
        <v>0.58333333333333337</v>
      </c>
      <c r="Q15" s="5" t="e">
        <f t="shared" si="6"/>
        <v>#N/A</v>
      </c>
      <c r="R15" s="5">
        <f>IF(ExpectedDuration+Buffer&gt;=Calcs!B15,Calcs!B15/(ExpectedDuration+Buffer),NA())</f>
        <v>0.4375</v>
      </c>
    </row>
    <row r="16" spans="1:18" x14ac:dyDescent="0.45">
      <c r="A16">
        <f t="shared" si="0"/>
        <v>2</v>
      </c>
      <c r="B16">
        <v>8</v>
      </c>
      <c r="C16" t="str">
        <f>IF(B16&lt;=LatestSprint,SUMIF(BackLog!D:D,B16,BackLog!B:B),"")</f>
        <v/>
      </c>
      <c r="D16" t="str">
        <f>IF(B16&lt;=LatestSprint,SUMIF(BackLog!C:C,B16,BackLog!B:B),"")</f>
        <v/>
      </c>
      <c r="E16" t="e">
        <f t="shared" si="7"/>
        <v>#N/A</v>
      </c>
      <c r="F16" t="e">
        <f t="shared" si="10"/>
        <v>#N/A</v>
      </c>
      <c r="G16">
        <f t="shared" si="1"/>
        <v>3.6666666666666661</v>
      </c>
      <c r="H16">
        <f t="shared" si="2"/>
        <v>2.2060523810365731</v>
      </c>
      <c r="I16" s="5">
        <f t="shared" si="3"/>
        <v>1.4060774984336888E-6</v>
      </c>
      <c r="J16" s="5">
        <f t="shared" si="11"/>
        <v>1.4060774953250643E-6</v>
      </c>
      <c r="K16" t="e">
        <f t="shared" si="8"/>
        <v>#N/A</v>
      </c>
      <c r="L16" t="e">
        <f t="shared" si="9"/>
        <v>#N/A</v>
      </c>
      <c r="M16">
        <f>IF(B16=Report!C$1,1,0)</f>
        <v>0</v>
      </c>
      <c r="N16">
        <f>IF(B16=(Report!C$1+Report!C$2),1,0)</f>
        <v>0</v>
      </c>
      <c r="O16" s="5" t="e">
        <f t="shared" si="4"/>
        <v>#N/A</v>
      </c>
      <c r="P16" s="5">
        <f t="shared" si="5"/>
        <v>0.66666666666666663</v>
      </c>
      <c r="Q16" s="5" t="e">
        <f t="shared" si="6"/>
        <v>#N/A</v>
      </c>
      <c r="R16" s="5">
        <f>IF(ExpectedDuration+Buffer&gt;=Calcs!B16,Calcs!B16/(ExpectedDuration+Buffer),NA())</f>
        <v>0.5</v>
      </c>
    </row>
    <row r="17" spans="1:18" x14ac:dyDescent="0.45">
      <c r="A17">
        <f t="shared" si="0"/>
        <v>3</v>
      </c>
      <c r="B17">
        <v>9</v>
      </c>
      <c r="C17" t="str">
        <f>IF(B17&lt;=LatestSprint,SUMIF(BackLog!D:D,B17,BackLog!B:B),"")</f>
        <v/>
      </c>
      <c r="D17" t="str">
        <f>IF(B17&lt;=LatestSprint,SUMIF(BackLog!C:C,B17,BackLog!B:B),"")</f>
        <v/>
      </c>
      <c r="E17" t="e">
        <f t="shared" si="7"/>
        <v>#N/A</v>
      </c>
      <c r="F17" t="e">
        <f t="shared" si="10"/>
        <v>#N/A</v>
      </c>
      <c r="G17">
        <f t="shared" si="1"/>
        <v>5.4999999999999991</v>
      </c>
      <c r="H17">
        <f t="shared" si="2"/>
        <v>2.701851317221259</v>
      </c>
      <c r="I17" s="5">
        <f t="shared" si="3"/>
        <v>8.2762541962178027E-4</v>
      </c>
      <c r="J17" s="5">
        <f t="shared" si="11"/>
        <v>8.2621934212334658E-4</v>
      </c>
      <c r="K17" t="e">
        <f t="shared" si="8"/>
        <v>#N/A</v>
      </c>
      <c r="L17" t="e">
        <f t="shared" si="9"/>
        <v>#N/A</v>
      </c>
      <c r="M17">
        <f>IF(B17=Report!C$1,1,0)</f>
        <v>0</v>
      </c>
      <c r="N17">
        <f>IF(B17=(Report!C$1+Report!C$2),1,0)</f>
        <v>0</v>
      </c>
      <c r="O17" s="5" t="e">
        <f t="shared" si="4"/>
        <v>#N/A</v>
      </c>
      <c r="P17" s="5">
        <f t="shared" si="5"/>
        <v>0.75</v>
      </c>
      <c r="Q17" s="5" t="e">
        <f t="shared" si="6"/>
        <v>#N/A</v>
      </c>
      <c r="R17" s="5">
        <f>IF(ExpectedDuration+Buffer&gt;=Calcs!B17,Calcs!B17/(ExpectedDuration+Buffer),NA())</f>
        <v>0.5625</v>
      </c>
    </row>
    <row r="18" spans="1:18" x14ac:dyDescent="0.45">
      <c r="A18">
        <f t="shared" si="0"/>
        <v>4</v>
      </c>
      <c r="B18">
        <v>10</v>
      </c>
      <c r="C18" t="str">
        <f>IF(B18&lt;=LatestSprint,SUMIF(BackLog!D:D,B18,BackLog!B:B),"")</f>
        <v/>
      </c>
      <c r="D18" t="str">
        <f>IF(B18&lt;=LatestSprint,SUMIF(BackLog!C:C,B18,BackLog!B:B),"")</f>
        <v/>
      </c>
      <c r="E18" t="e">
        <f t="shared" si="7"/>
        <v>#N/A</v>
      </c>
      <c r="F18" t="e">
        <f t="shared" si="10"/>
        <v>#N/A</v>
      </c>
      <c r="G18">
        <f t="shared" si="1"/>
        <v>7.3333333333333321</v>
      </c>
      <c r="H18">
        <f t="shared" si="2"/>
        <v>3.1198291551460242</v>
      </c>
      <c r="I18" s="5">
        <f t="shared" si="3"/>
        <v>1.6304318019792707E-2</v>
      </c>
      <c r="J18" s="5">
        <f t="shared" si="11"/>
        <v>1.5476692600170927E-2</v>
      </c>
      <c r="K18" t="e">
        <f t="shared" si="8"/>
        <v>#N/A</v>
      </c>
      <c r="L18" t="e">
        <f t="shared" si="9"/>
        <v>#N/A</v>
      </c>
      <c r="M18">
        <f>IF(B18=Report!C$1,1,0)</f>
        <v>0</v>
      </c>
      <c r="N18">
        <f>IF(B18=(Report!C$1+Report!C$2),1,0)</f>
        <v>0</v>
      </c>
      <c r="O18" s="5" t="e">
        <f t="shared" si="4"/>
        <v>#N/A</v>
      </c>
      <c r="P18" s="5">
        <f t="shared" si="5"/>
        <v>0.83333333333333337</v>
      </c>
      <c r="Q18" s="5" t="e">
        <f t="shared" si="6"/>
        <v>#N/A</v>
      </c>
      <c r="R18" s="5">
        <f>IF(ExpectedDuration+Buffer&gt;=Calcs!B18,Calcs!B18/(ExpectedDuration+Buffer),NA())</f>
        <v>0.625</v>
      </c>
    </row>
    <row r="19" spans="1:18" x14ac:dyDescent="0.45">
      <c r="A19">
        <f t="shared" si="0"/>
        <v>5</v>
      </c>
      <c r="B19">
        <v>11</v>
      </c>
      <c r="C19" t="str">
        <f>IF(B19&lt;=LatestSprint,SUMIF(BackLog!D:D,B19,BackLog!B:B),"")</f>
        <v/>
      </c>
      <c r="D19" t="str">
        <f>IF(B19&lt;=LatestSprint,SUMIF(BackLog!C:C,B19,BackLog!B:B),"")</f>
        <v/>
      </c>
      <c r="E19" t="e">
        <f t="shared" si="7"/>
        <v>#N/A</v>
      </c>
      <c r="F19" t="e">
        <f t="shared" si="10"/>
        <v>#N/A</v>
      </c>
      <c r="G19">
        <f t="shared" si="1"/>
        <v>9.1666666666666643</v>
      </c>
      <c r="H19">
        <f t="shared" si="2"/>
        <v>3.4880750227427253</v>
      </c>
      <c r="I19" s="5">
        <f t="shared" si="3"/>
        <v>8.2923302652701869E-2</v>
      </c>
      <c r="J19" s="5">
        <f t="shared" si="11"/>
        <v>6.6618984632909162E-2</v>
      </c>
      <c r="K19" t="e">
        <f t="shared" si="8"/>
        <v>#N/A</v>
      </c>
      <c r="L19" t="e">
        <f t="shared" si="9"/>
        <v>#N/A</v>
      </c>
      <c r="M19">
        <f>IF(B19=Report!C$1,1,0)</f>
        <v>0</v>
      </c>
      <c r="N19">
        <f>IF(B19=(Report!C$1+Report!C$2),1,0)</f>
        <v>0</v>
      </c>
      <c r="O19" s="5" t="e">
        <f t="shared" si="4"/>
        <v>#N/A</v>
      </c>
      <c r="P19" s="5">
        <f t="shared" si="5"/>
        <v>0.91666666666666663</v>
      </c>
      <c r="Q19" s="5" t="e">
        <f t="shared" si="6"/>
        <v>#N/A</v>
      </c>
      <c r="R19" s="5">
        <f>IF(ExpectedDuration+Buffer&gt;=Calcs!B19,Calcs!B19/(ExpectedDuration+Buffer),NA())</f>
        <v>0.6875</v>
      </c>
    </row>
    <row r="20" spans="1:18" x14ac:dyDescent="0.45">
      <c r="A20">
        <f t="shared" si="0"/>
        <v>6</v>
      </c>
      <c r="B20">
        <v>12</v>
      </c>
      <c r="C20" t="str">
        <f>IF(B20&lt;=LatestSprint,SUMIF(BackLog!D:D,B20,BackLog!B:B),"")</f>
        <v/>
      </c>
      <c r="D20" t="str">
        <f>IF(B20&lt;=LatestSprint,SUMIF(BackLog!C:C,B20,BackLog!B:B),"")</f>
        <v/>
      </c>
      <c r="E20" t="e">
        <f t="shared" si="7"/>
        <v>#N/A</v>
      </c>
      <c r="F20" t="e">
        <f t="shared" si="10"/>
        <v>#N/A</v>
      </c>
      <c r="G20">
        <f t="shared" si="1"/>
        <v>10.999999999999998</v>
      </c>
      <c r="H20">
        <f t="shared" si="2"/>
        <v>3.82099473490856</v>
      </c>
      <c r="I20" s="5">
        <f t="shared" si="3"/>
        <v>0.21618695729471327</v>
      </c>
      <c r="J20" s="5">
        <f t="shared" si="11"/>
        <v>0.1332636546420114</v>
      </c>
      <c r="K20" t="e">
        <f t="shared" si="8"/>
        <v>#N/A</v>
      </c>
      <c r="L20" t="e">
        <f t="shared" si="9"/>
        <v>#N/A</v>
      </c>
      <c r="M20">
        <f>IF(B20=Report!C$1,1,0)</f>
        <v>1</v>
      </c>
      <c r="N20">
        <f>IF(B20=(Report!C$1+Report!C$2),1,0)</f>
        <v>0</v>
      </c>
      <c r="O20" s="5" t="e">
        <f t="shared" si="4"/>
        <v>#N/A</v>
      </c>
      <c r="P20" s="5">
        <f t="shared" si="5"/>
        <v>1</v>
      </c>
      <c r="Q20" s="5" t="e">
        <f t="shared" si="6"/>
        <v>#N/A</v>
      </c>
      <c r="R20" s="5">
        <f>IF(ExpectedDuration+Buffer&gt;=Calcs!B20,Calcs!B20/(ExpectedDuration+Buffer),NA())</f>
        <v>0.75</v>
      </c>
    </row>
    <row r="21" spans="1:18" x14ac:dyDescent="0.45">
      <c r="A21">
        <f t="shared" si="0"/>
        <v>7</v>
      </c>
      <c r="B21">
        <v>13</v>
      </c>
      <c r="C21" t="str">
        <f>IF(B21&lt;=LatestSprint,SUMIF(BackLog!D:D,B21,BackLog!B:B),"")</f>
        <v/>
      </c>
      <c r="D21" t="str">
        <f>IF(B21&lt;=LatestSprint,SUMIF(BackLog!C:C,B21,BackLog!B:B),"")</f>
        <v/>
      </c>
      <c r="E21" t="e">
        <f t="shared" si="7"/>
        <v>#N/A</v>
      </c>
      <c r="F21" t="e">
        <f t="shared" si="10"/>
        <v>#N/A</v>
      </c>
      <c r="G21">
        <f t="shared" si="1"/>
        <v>12.833333333333332</v>
      </c>
      <c r="H21">
        <f t="shared" si="2"/>
        <v>4.127146006474999</v>
      </c>
      <c r="I21" s="5">
        <f t="shared" si="3"/>
        <v>0.38871060694286608</v>
      </c>
      <c r="J21" s="5">
        <f t="shared" si="11"/>
        <v>0.17252364964815281</v>
      </c>
      <c r="K21" t="e">
        <f t="shared" si="8"/>
        <v>#N/A</v>
      </c>
      <c r="L21" t="e">
        <f t="shared" si="9"/>
        <v>#N/A</v>
      </c>
      <c r="M21">
        <f>IF(B21=Report!C$1,1,0)</f>
        <v>0</v>
      </c>
      <c r="N21">
        <f>IF(B21=(Report!C$1+Report!C$2),1,0)</f>
        <v>0</v>
      </c>
      <c r="O21" s="5" t="e">
        <f t="shared" si="4"/>
        <v>#N/A</v>
      </c>
      <c r="P21" s="5" t="e">
        <f t="shared" si="5"/>
        <v>#N/A</v>
      </c>
      <c r="Q21" s="5" t="e">
        <f t="shared" si="6"/>
        <v>#N/A</v>
      </c>
      <c r="R21" s="5">
        <f>IF(ExpectedDuration+Buffer&gt;=Calcs!B21,Calcs!B21/(ExpectedDuration+Buffer),NA())</f>
        <v>0.8125</v>
      </c>
    </row>
    <row r="22" spans="1:18" x14ac:dyDescent="0.45">
      <c r="A22">
        <f t="shared" si="0"/>
        <v>8</v>
      </c>
      <c r="B22">
        <v>14</v>
      </c>
      <c r="C22" t="str">
        <f>IF(B22&lt;=LatestSprint,SUMIF(BackLog!D:D,B22,BackLog!B:B),"")</f>
        <v/>
      </c>
      <c r="D22" t="str">
        <f>IF(B22&lt;=LatestSprint,SUMIF(BackLog!C:C,B22,BackLog!B:B),"")</f>
        <v/>
      </c>
      <c r="E22" t="e">
        <f t="shared" si="7"/>
        <v>#N/A</v>
      </c>
      <c r="F22" t="e">
        <f t="shared" si="10"/>
        <v>#N/A</v>
      </c>
      <c r="G22">
        <f t="shared" si="1"/>
        <v>14.666666666666664</v>
      </c>
      <c r="H22">
        <f t="shared" si="2"/>
        <v>4.4121046620731468</v>
      </c>
      <c r="I22" s="5">
        <f t="shared" si="3"/>
        <v>0.56005137387381332</v>
      </c>
      <c r="J22" s="5">
        <f t="shared" si="11"/>
        <v>0.17134076693094724</v>
      </c>
      <c r="K22" t="e">
        <f t="shared" si="8"/>
        <v>#N/A</v>
      </c>
      <c r="L22" t="e">
        <f t="shared" si="9"/>
        <v>#N/A</v>
      </c>
      <c r="M22">
        <f>IF(B22=Report!C$1,1,0)</f>
        <v>0</v>
      </c>
      <c r="N22">
        <f>IF(B22=(Report!C$1+Report!C$2),1,0)</f>
        <v>0</v>
      </c>
      <c r="O22" s="5" t="e">
        <f t="shared" si="4"/>
        <v>#N/A</v>
      </c>
      <c r="P22" s="5" t="e">
        <f t="shared" si="5"/>
        <v>#N/A</v>
      </c>
      <c r="Q22" s="5" t="e">
        <f t="shared" si="6"/>
        <v>#N/A</v>
      </c>
      <c r="R22" s="5">
        <f>IF(ExpectedDuration+Buffer&gt;=Calcs!B22,Calcs!B22/(ExpectedDuration+Buffer),NA())</f>
        <v>0.875</v>
      </c>
    </row>
    <row r="23" spans="1:18" x14ac:dyDescent="0.45">
      <c r="A23">
        <f t="shared" si="0"/>
        <v>9</v>
      </c>
      <c r="B23">
        <v>15</v>
      </c>
      <c r="C23" t="str">
        <f>IF(B23&lt;=LatestSprint,SUMIF(BackLog!D:D,B23,BackLog!B:B),"")</f>
        <v/>
      </c>
      <c r="D23" t="str">
        <f>IF(B23&lt;=LatestSprint,SUMIF(BackLog!C:C,B23,BackLog!B:B),"")</f>
        <v/>
      </c>
      <c r="E23" t="e">
        <f t="shared" si="7"/>
        <v>#N/A</v>
      </c>
      <c r="F23" t="e">
        <f t="shared" si="10"/>
        <v>#N/A</v>
      </c>
      <c r="G23">
        <f t="shared" si="1"/>
        <v>16.499999999999996</v>
      </c>
      <c r="H23">
        <f t="shared" si="2"/>
        <v>4.6797436827190371</v>
      </c>
      <c r="I23" s="5">
        <f t="shared" si="3"/>
        <v>0.70340439678832678</v>
      </c>
      <c r="J23" s="5">
        <f t="shared" si="11"/>
        <v>0.14335302291451346</v>
      </c>
      <c r="K23" t="e">
        <f t="shared" si="8"/>
        <v>#N/A</v>
      </c>
      <c r="L23" t="e">
        <f t="shared" si="9"/>
        <v>#N/A</v>
      </c>
      <c r="M23">
        <f>IF(B23=Report!C$1,1,0)</f>
        <v>0</v>
      </c>
      <c r="N23">
        <f>IF(B23=(Report!C$1+Report!C$2),1,0)</f>
        <v>0</v>
      </c>
      <c r="O23" s="5" t="e">
        <f t="shared" si="4"/>
        <v>#N/A</v>
      </c>
      <c r="P23" s="5" t="e">
        <f t="shared" si="5"/>
        <v>#N/A</v>
      </c>
      <c r="Q23" s="5" t="e">
        <f t="shared" si="6"/>
        <v>#N/A</v>
      </c>
      <c r="R23" s="5">
        <f>IF(ExpectedDuration+Buffer&gt;=Calcs!B23,Calcs!B23/(ExpectedDuration+Buffer),NA())</f>
        <v>0.9375</v>
      </c>
    </row>
    <row r="24" spans="1:18" x14ac:dyDescent="0.45">
      <c r="A24">
        <f t="shared" si="0"/>
        <v>10</v>
      </c>
      <c r="B24">
        <v>16</v>
      </c>
      <c r="C24" t="str">
        <f>IF(B24&lt;=LatestSprint,SUMIF(BackLog!D:D,B24,BackLog!B:B),"")</f>
        <v/>
      </c>
      <c r="D24" t="str">
        <f>IF(B24&lt;=LatestSprint,SUMIF(BackLog!C:C,B24,BackLog!B:B),"")</f>
        <v/>
      </c>
      <c r="E24" t="e">
        <f t="shared" si="7"/>
        <v>#N/A</v>
      </c>
      <c r="F24" t="e">
        <f t="shared" si="10"/>
        <v>#N/A</v>
      </c>
      <c r="G24">
        <f t="shared" si="1"/>
        <v>18.333333333333329</v>
      </c>
      <c r="H24">
        <f t="shared" si="2"/>
        <v>4.9328829623162482</v>
      </c>
      <c r="I24" s="5">
        <f t="shared" si="3"/>
        <v>0.81015254535092718</v>
      </c>
      <c r="J24" s="5">
        <f t="shared" ref="J24:J26" si="12">IF(I23,I24-I23,I24)</f>
        <v>0.1067481485626004</v>
      </c>
      <c r="K24" t="e">
        <f t="shared" si="8"/>
        <v>#N/A</v>
      </c>
      <c r="L24" t="e">
        <f t="shared" si="9"/>
        <v>#N/A</v>
      </c>
      <c r="M24">
        <f>IF(B24=Report!C$1,1,0)</f>
        <v>0</v>
      </c>
      <c r="N24">
        <f>IF(B24=(Report!C$1+Report!C$2),1,0)</f>
        <v>1</v>
      </c>
      <c r="O24" s="5" t="e">
        <f t="shared" si="4"/>
        <v>#N/A</v>
      </c>
      <c r="P24" s="5" t="e">
        <f t="shared" si="5"/>
        <v>#N/A</v>
      </c>
      <c r="Q24" s="5" t="e">
        <f t="shared" si="6"/>
        <v>#N/A</v>
      </c>
      <c r="R24" s="5">
        <f>IF(ExpectedDuration+Buffer&gt;=Calcs!B24,Calcs!B24/(ExpectedDuration+Buffer),NA())</f>
        <v>1</v>
      </c>
    </row>
    <row r="25" spans="1:18" x14ac:dyDescent="0.45">
      <c r="A25">
        <f t="shared" si="0"/>
        <v>11</v>
      </c>
      <c r="B25">
        <v>17</v>
      </c>
      <c r="C25" t="str">
        <f>IF(B25&lt;=LatestSprint,SUMIF(BackLog!D:D,B25,BackLog!B:B),"")</f>
        <v/>
      </c>
      <c r="D25" t="str">
        <f>IF(B25&lt;=LatestSprint,SUMIF(BackLog!C:C,B25,BackLog!B:B),"")</f>
        <v/>
      </c>
      <c r="E25" t="e">
        <f t="shared" si="7"/>
        <v>#N/A</v>
      </c>
      <c r="F25" t="e">
        <f t="shared" si="10"/>
        <v>#N/A</v>
      </c>
      <c r="G25">
        <f t="shared" si="1"/>
        <v>20.166666666666664</v>
      </c>
      <c r="H25">
        <f t="shared" si="2"/>
        <v>5.173651292984184</v>
      </c>
      <c r="I25" s="5">
        <f t="shared" si="3"/>
        <v>0.883357035626121</v>
      </c>
      <c r="J25" s="5">
        <f t="shared" si="12"/>
        <v>7.3204490275193823E-2</v>
      </c>
      <c r="K25" t="e">
        <f t="shared" si="8"/>
        <v>#N/A</v>
      </c>
      <c r="L25" t="e">
        <f t="shared" si="9"/>
        <v>#N/A</v>
      </c>
      <c r="M25">
        <f>IF(B25=Report!C$1,1,0)</f>
        <v>0</v>
      </c>
      <c r="N25">
        <f>IF(B25=(Report!C$1+Report!C$2),1,0)</f>
        <v>0</v>
      </c>
      <c r="O25" s="5" t="e">
        <f t="shared" si="4"/>
        <v>#N/A</v>
      </c>
      <c r="P25" s="5" t="e">
        <f t="shared" si="5"/>
        <v>#N/A</v>
      </c>
      <c r="Q25" s="5" t="e">
        <f t="shared" si="6"/>
        <v>#N/A</v>
      </c>
      <c r="R25" s="5" t="e">
        <f>IF(ExpectedDuration+Buffer&gt;=Calcs!B25,Calcs!B25/(ExpectedDuration+Buffer),NA())</f>
        <v>#N/A</v>
      </c>
    </row>
    <row r="26" spans="1:18" x14ac:dyDescent="0.45">
      <c r="A26">
        <f t="shared" si="0"/>
        <v>12</v>
      </c>
      <c r="B26">
        <v>18</v>
      </c>
      <c r="C26" t="str">
        <f>IF(B26&lt;=LatestSprint,SUMIF(BackLog!D:D,B26,BackLog!B:B),"")</f>
        <v/>
      </c>
      <c r="D26" t="str">
        <f>IF(B26&lt;=LatestSprint,SUMIF(BackLog!C:C,B26,BackLog!B:B),"")</f>
        <v/>
      </c>
      <c r="E26" t="e">
        <f t="shared" si="7"/>
        <v>#N/A</v>
      </c>
      <c r="F26" t="e">
        <f t="shared" si="10"/>
        <v>#N/A</v>
      </c>
      <c r="G26">
        <f t="shared" si="1"/>
        <v>21.999999999999996</v>
      </c>
      <c r="H26">
        <f t="shared" si="2"/>
        <v>5.4037025344425187</v>
      </c>
      <c r="I26" s="5">
        <f t="shared" si="3"/>
        <v>0.9306255884821697</v>
      </c>
      <c r="J26" s="5">
        <f t="shared" si="12"/>
        <v>4.7268552856048696E-2</v>
      </c>
      <c r="K26" t="e">
        <f t="shared" si="8"/>
        <v>#N/A</v>
      </c>
      <c r="L26" t="e">
        <f t="shared" si="9"/>
        <v>#N/A</v>
      </c>
      <c r="M26">
        <f>IF(B26=Report!C$1,1,0)</f>
        <v>0</v>
      </c>
      <c r="N26">
        <f>IF(B26=(Report!C$1+Report!C$2),1,0)</f>
        <v>0</v>
      </c>
      <c r="O26" s="5" t="e">
        <f t="shared" si="4"/>
        <v>#N/A</v>
      </c>
      <c r="P26" s="5" t="e">
        <f t="shared" si="5"/>
        <v>#N/A</v>
      </c>
      <c r="Q26" s="5" t="e">
        <f t="shared" si="6"/>
        <v>#N/A</v>
      </c>
      <c r="R26" s="5" t="e">
        <f>IF(ExpectedDuration+Buffer&gt;=Calcs!B26,Calcs!B26/(ExpectedDuration+Buffer),NA())</f>
        <v>#N/A</v>
      </c>
    </row>
    <row r="27" spans="1:18" x14ac:dyDescent="0.45">
      <c r="A27">
        <f t="shared" ref="A27:A28" si="13">B27-LatestSprint</f>
        <v>13</v>
      </c>
      <c r="B27">
        <v>19</v>
      </c>
      <c r="C27" t="str">
        <f>IF(B27&lt;=LatestSprint,SUMIF(BackLog!D:D,B27,BackLog!B:B),"")</f>
        <v/>
      </c>
      <c r="D27" t="str">
        <f>IF(B27&lt;=LatestSprint,SUMIF(BackLog!C:C,B27,BackLog!B:B),"")</f>
        <v/>
      </c>
      <c r="E27" t="e">
        <f t="shared" ref="E27:E28" si="14">IF(B27&lt;=LatestSprint,E26-C27,NA())</f>
        <v>#N/A</v>
      </c>
      <c r="F27" t="e">
        <f t="shared" ref="F27:F28" si="15">IF(C27&lt;&gt;"",-D27+F26,NA())</f>
        <v>#N/A</v>
      </c>
      <c r="G27">
        <f t="shared" ref="G27:G28" si="16">IF(A27&gt;0,A27*(AverageOut-AverageIn),0)</f>
        <v>23.833333333333329</v>
      </c>
      <c r="H27">
        <f t="shared" si="2"/>
        <v>5.6243519145056808</v>
      </c>
      <c r="I27" s="5">
        <f t="shared" ref="I27:I28" si="17">1-NORMDIST(WorkLeft,G27,H27,TRUE)</f>
        <v>0.95979824395437285</v>
      </c>
      <c r="J27" s="5">
        <f t="shared" ref="J27:J28" si="18">IF(I26,I27-I26,I27)</f>
        <v>2.9172655472203157E-2</v>
      </c>
      <c r="K27" t="e">
        <f t="shared" ref="K27:K28" si="19">IF(C27="",NA(),C27)</f>
        <v>#N/A</v>
      </c>
      <c r="L27" t="e">
        <f t="shared" ref="L27:L28" si="20">IF(D27="",NA(),D27)</f>
        <v>#N/A</v>
      </c>
      <c r="M27">
        <f>IF(B27=Report!C$1,1,0)</f>
        <v>0</v>
      </c>
      <c r="N27">
        <f>IF(B27=(Report!C$1+Report!C$2),1,0)</f>
        <v>0</v>
      </c>
      <c r="O27" s="5" t="e">
        <f t="shared" si="4"/>
        <v>#N/A</v>
      </c>
      <c r="P27" s="5" t="e">
        <f t="shared" si="5"/>
        <v>#N/A</v>
      </c>
      <c r="Q27" s="5" t="e">
        <f t="shared" si="6"/>
        <v>#N/A</v>
      </c>
      <c r="R27" s="5" t="e">
        <f>IF(ExpectedDuration+Buffer&gt;=Calcs!B27,Calcs!B27/(ExpectedDuration+Buffer),NA())</f>
        <v>#N/A</v>
      </c>
    </row>
    <row r="28" spans="1:18" x14ac:dyDescent="0.45">
      <c r="A28">
        <f t="shared" si="13"/>
        <v>14</v>
      </c>
      <c r="B28">
        <v>20</v>
      </c>
      <c r="C28" t="str">
        <f>IF(B28&lt;=LatestSprint,SUMIF(BackLog!D:D,B28,BackLog!B:B),"")</f>
        <v/>
      </c>
      <c r="D28" t="str">
        <f>IF(B28&lt;=LatestSprint,SUMIF(BackLog!C:C,B28,BackLog!B:B),"")</f>
        <v/>
      </c>
      <c r="E28" t="e">
        <f t="shared" si="14"/>
        <v>#N/A</v>
      </c>
      <c r="F28" t="e">
        <f t="shared" si="15"/>
        <v>#N/A</v>
      </c>
      <c r="G28">
        <f t="shared" si="16"/>
        <v>25.666666666666664</v>
      </c>
      <c r="H28">
        <f t="shared" si="2"/>
        <v>5.8366658148295443</v>
      </c>
      <c r="I28" s="5">
        <f t="shared" si="17"/>
        <v>0.97718814463735781</v>
      </c>
      <c r="J28" s="5">
        <f t="shared" si="18"/>
        <v>1.738990068298496E-2</v>
      </c>
      <c r="K28" t="e">
        <f t="shared" si="19"/>
        <v>#N/A</v>
      </c>
      <c r="L28" t="e">
        <f t="shared" si="20"/>
        <v>#N/A</v>
      </c>
      <c r="M28">
        <f>IF(B28=Report!C$1,1,0)</f>
        <v>0</v>
      </c>
      <c r="N28">
        <f>IF(B28=(Report!C$1+Report!C$2),1,0)</f>
        <v>0</v>
      </c>
      <c r="O28" s="5" t="e">
        <f t="shared" si="4"/>
        <v>#N/A</v>
      </c>
      <c r="P28" s="5" t="e">
        <f t="shared" si="5"/>
        <v>#N/A</v>
      </c>
      <c r="Q28" s="5" t="e">
        <f t="shared" si="6"/>
        <v>#N/A</v>
      </c>
      <c r="R28" s="5" t="e">
        <f>IF(ExpectedDuration+Buffer&gt;=Calcs!B28,Calcs!B28/(ExpectedDuration+Buffer),NA())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BackLog</vt:lpstr>
      <vt:lpstr>Report</vt:lpstr>
      <vt:lpstr>Calcs</vt:lpstr>
      <vt:lpstr>AverageIn</vt:lpstr>
      <vt:lpstr>AverageOut</vt:lpstr>
      <vt:lpstr>Buffer</vt:lpstr>
      <vt:lpstr>DevIn</vt:lpstr>
      <vt:lpstr>DevOut</vt:lpstr>
      <vt:lpstr>ExpectedDuration</vt:lpstr>
      <vt:lpstr>LatestSprint</vt:lpstr>
      <vt:lpstr>PreGameSize</vt:lpstr>
      <vt:lpstr>WorkLeft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Максим Дорофеев</cp:lastModifiedBy>
  <dcterms:created xsi:type="dcterms:W3CDTF">2009-06-16T13:34:02Z</dcterms:created>
  <dcterms:modified xsi:type="dcterms:W3CDTF">2016-06-16T18:18:49Z</dcterms:modified>
</cp:coreProperties>
</file>